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people.ey.com/personal/stacy_unongo_br_ey_com/Documents/Documents/Documentos de Trabalho/D&amp;I/Projeto BID Mulheres/14 jun 2022/"/>
    </mc:Choice>
  </mc:AlternateContent>
  <xr:revisionPtr revIDLastSave="335" documentId="8_{B658A6BD-5A21-4A9D-8505-214C9BBAC6E9}" xr6:coauthVersionLast="46" xr6:coauthVersionMax="47" xr10:uidLastSave="{70C8CBD3-F77E-4A7E-B95B-11CEDE9C731C}"/>
  <bookViews>
    <workbookView xWindow="-110" yWindow="-110" windowWidth="19420" windowHeight="10420" xr2:uid="{00000000-000D-0000-FFFF-FFFF00000000}"/>
  </bookViews>
  <sheets>
    <sheet name="Exercício 1" sheetId="15" r:id="rId1"/>
    <sheet name="Exercício 1 resposta" sheetId="16" r:id="rId2"/>
    <sheet name="Exercício 2" sheetId="11" r:id="rId3"/>
    <sheet name="Exercício 2 Resposta" sheetId="10" r:id="rId4"/>
    <sheet name="Exer 2 Matriz da Dívida" sheetId="17" r:id="rId5"/>
    <sheet name="Graficos" sheetId="13" r:id="rId6"/>
    <sheet name="Betas" sheetId="7" r:id="rId7"/>
    <sheet name="Taxas EUA" sheetId="12" r:id="rId8"/>
    <sheet name="Premissas Macro" sheetId="3" r:id="rId9"/>
  </sheets>
  <externalReferences>
    <externalReference r:id="rId10"/>
  </externalReferences>
  <definedNames>
    <definedName name="Biomasa">[1]Insumos!#REF!</definedName>
    <definedName name="CajaMinima">[1]Parámetros!$G$33</definedName>
    <definedName name="Eólico">[1]Insumos!#REF!</definedName>
    <definedName name="Hídrico">[1]Insumos!#REF!</definedName>
    <definedName name="Otro_recurso">[1]Insumos!#REF!</definedName>
    <definedName name="Solar">[1]Insumos!#REF!</definedName>
    <definedName name="tecnologias">[1]Insumos!#REF!</definedName>
    <definedName name="Total">[1]Insumos!#REF!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3" i="16" l="1"/>
  <c r="A151" i="16"/>
  <c r="A149" i="16"/>
  <c r="A146" i="16"/>
  <c r="A145" i="16"/>
  <c r="A143" i="16"/>
  <c r="A140" i="16"/>
  <c r="A139" i="16"/>
  <c r="A138" i="16"/>
  <c r="A137" i="16"/>
  <c r="A135" i="16"/>
  <c r="A133" i="16"/>
  <c r="A131" i="16"/>
  <c r="A129" i="16"/>
  <c r="A128" i="16"/>
  <c r="A127" i="16"/>
  <c r="A125" i="16"/>
  <c r="A123" i="16"/>
  <c r="A121" i="16"/>
  <c r="A120" i="16"/>
  <c r="A119" i="16"/>
  <c r="A118" i="16"/>
  <c r="A117" i="16"/>
  <c r="A115" i="16"/>
  <c r="A114" i="16"/>
  <c r="A113" i="16"/>
  <c r="A112" i="16"/>
  <c r="A111" i="16"/>
  <c r="A110" i="16"/>
  <c r="A108" i="16"/>
  <c r="A107" i="16"/>
  <c r="A106" i="16"/>
  <c r="A105" i="16"/>
  <c r="A103" i="16"/>
  <c r="A102" i="16"/>
  <c r="A101" i="16"/>
  <c r="A100" i="16"/>
  <c r="A99" i="16"/>
  <c r="A98" i="16"/>
  <c r="A91" i="16"/>
  <c r="A89" i="16"/>
  <c r="A87" i="16"/>
  <c r="A86" i="16"/>
  <c r="A85" i="16"/>
  <c r="A84" i="16"/>
  <c r="A83" i="16"/>
  <c r="A82" i="16"/>
  <c r="A81" i="16"/>
  <c r="A80" i="16"/>
  <c r="A78" i="16"/>
  <c r="A76" i="16"/>
  <c r="A74" i="16"/>
  <c r="A73" i="16"/>
  <c r="A72" i="16"/>
  <c r="A71" i="16"/>
  <c r="A70" i="16"/>
  <c r="A69" i="16"/>
  <c r="A68" i="16"/>
  <c r="A66" i="16"/>
  <c r="A64" i="16"/>
  <c r="A63" i="16"/>
  <c r="A62" i="16"/>
  <c r="A61" i="16"/>
  <c r="A60" i="16"/>
  <c r="A59" i="16"/>
  <c r="A58" i="16"/>
  <c r="A56" i="16"/>
  <c r="A53" i="16"/>
  <c r="A51" i="16"/>
  <c r="A49" i="16"/>
  <c r="A48" i="16"/>
  <c r="A47" i="16"/>
  <c r="A46" i="16"/>
  <c r="A45" i="16"/>
  <c r="A43" i="16"/>
  <c r="A42" i="16"/>
  <c r="A41" i="16"/>
  <c r="A40" i="16"/>
  <c r="A39" i="16"/>
  <c r="A38" i="16"/>
  <c r="A36" i="16"/>
  <c r="A35" i="16"/>
  <c r="A32" i="16"/>
  <c r="A30" i="16"/>
  <c r="A28" i="16"/>
  <c r="A26" i="16"/>
  <c r="A25" i="16"/>
  <c r="A23" i="16"/>
  <c r="A22" i="16"/>
  <c r="A20" i="16"/>
  <c r="A19" i="16"/>
  <c r="A17" i="16"/>
  <c r="A16" i="16"/>
  <c r="A14" i="16"/>
  <c r="A13" i="16"/>
  <c r="A12" i="16"/>
  <c r="A10" i="16"/>
  <c r="A9" i="16"/>
  <c r="A7" i="16"/>
  <c r="A5" i="16"/>
  <c r="B2" i="13"/>
  <c r="D232" i="10"/>
  <c r="D230" i="10"/>
  <c r="D228" i="10"/>
  <c r="D226" i="10"/>
  <c r="D225" i="10"/>
  <c r="D223" i="10"/>
  <c r="D222" i="10"/>
  <c r="D221" i="10"/>
  <c r="I151" i="16"/>
  <c r="H151" i="16"/>
  <c r="G151" i="16"/>
  <c r="F151" i="16"/>
  <c r="E153" i="16"/>
  <c r="E151" i="16"/>
  <c r="E106" i="16"/>
  <c r="E103" i="16"/>
  <c r="E102" i="16"/>
  <c r="E101" i="16"/>
  <c r="E99" i="16"/>
  <c r="E86" i="16"/>
  <c r="E85" i="16"/>
  <c r="E84" i="16"/>
  <c r="E83" i="16"/>
  <c r="E82" i="16"/>
  <c r="E81" i="16"/>
  <c r="E80" i="16"/>
  <c r="E74" i="16"/>
  <c r="E68" i="16"/>
  <c r="E66" i="16"/>
  <c r="E64" i="16"/>
  <c r="E63" i="16"/>
  <c r="E62" i="16"/>
  <c r="E61" i="16"/>
  <c r="E60" i="16"/>
  <c r="E59" i="16"/>
  <c r="F58" i="16"/>
  <c r="E58" i="16"/>
  <c r="E12" i="16"/>
  <c r="E16" i="16"/>
  <c r="E28" i="16"/>
  <c r="E32" i="16"/>
  <c r="E30" i="16"/>
  <c r="E22" i="10"/>
  <c r="B48" i="11"/>
  <c r="C137" i="11" l="1"/>
  <c r="G13" i="17"/>
  <c r="F13" i="17"/>
  <c r="F19" i="17" s="1"/>
  <c r="F56" i="17"/>
  <c r="C49" i="17"/>
  <c r="C50" i="17" s="1"/>
  <c r="C51" i="17" s="1"/>
  <c r="C52" i="17" s="1"/>
  <c r="C53" i="17" s="1"/>
  <c r="C54" i="17" s="1"/>
  <c r="G46" i="17"/>
  <c r="H46" i="17" s="1"/>
  <c r="I46" i="17" s="1"/>
  <c r="J46" i="17" s="1"/>
  <c r="K46" i="17" s="1"/>
  <c r="L46" i="17" s="1"/>
  <c r="C35" i="17"/>
  <c r="C36" i="17" s="1"/>
  <c r="G32" i="17"/>
  <c r="C20" i="17"/>
  <c r="G17" i="17"/>
  <c r="H17" i="17" s="1"/>
  <c r="G11" i="17"/>
  <c r="H11" i="17" s="1"/>
  <c r="I11" i="17" s="1"/>
  <c r="J11" i="17" s="1"/>
  <c r="K11" i="17" s="1"/>
  <c r="L11" i="17" s="1"/>
  <c r="F4" i="17"/>
  <c r="G35" i="17" l="1"/>
  <c r="I17" i="17"/>
  <c r="F35" i="17"/>
  <c r="F34" i="17"/>
  <c r="G20" i="17"/>
  <c r="H49" i="17" s="1"/>
  <c r="G48" i="17"/>
  <c r="C21" i="17"/>
  <c r="F36" i="17"/>
  <c r="G34" i="17"/>
  <c r="G19" i="17" s="1"/>
  <c r="H32" i="17"/>
  <c r="G36" i="17"/>
  <c r="F20" i="17"/>
  <c r="C37" i="17"/>
  <c r="G49" i="17" l="1"/>
  <c r="H48" i="17"/>
  <c r="C22" i="17"/>
  <c r="G21" i="17"/>
  <c r="H50" i="17" s="1"/>
  <c r="F21" i="17"/>
  <c r="G50" i="17" s="1"/>
  <c r="H37" i="17"/>
  <c r="G37" i="17"/>
  <c r="F37" i="17"/>
  <c r="C38" i="17"/>
  <c r="I32" i="17"/>
  <c r="I37" i="17" s="1"/>
  <c r="H35" i="17"/>
  <c r="H20" i="17" s="1"/>
  <c r="H36" i="17"/>
  <c r="H34" i="17"/>
  <c r="H19" i="17" s="1"/>
  <c r="J17" i="17"/>
  <c r="I49" i="17" l="1"/>
  <c r="I48" i="17"/>
  <c r="I38" i="17"/>
  <c r="H38" i="17"/>
  <c r="G38" i="17"/>
  <c r="C39" i="17"/>
  <c r="F38" i="17"/>
  <c r="K17" i="17"/>
  <c r="J32" i="17"/>
  <c r="J38" i="17" s="1"/>
  <c r="I35" i="17"/>
  <c r="I20" i="17" s="1"/>
  <c r="I34" i="17"/>
  <c r="I19" i="17" s="1"/>
  <c r="H22" i="17"/>
  <c r="I51" i="17" s="1"/>
  <c r="G22" i="17"/>
  <c r="H51" i="17" s="1"/>
  <c r="F22" i="17"/>
  <c r="C23" i="17"/>
  <c r="J49" i="17" l="1"/>
  <c r="J35" i="17"/>
  <c r="J20" i="17" s="1"/>
  <c r="K49" i="17" s="1"/>
  <c r="K32" i="17"/>
  <c r="K39" i="17" s="1"/>
  <c r="J34" i="17"/>
  <c r="J19" i="17" s="1"/>
  <c r="G51" i="17"/>
  <c r="J48" i="17"/>
  <c r="C40" i="17"/>
  <c r="H39" i="17"/>
  <c r="I39" i="17"/>
  <c r="G39" i="17"/>
  <c r="F39" i="17"/>
  <c r="J39" i="17"/>
  <c r="C24" i="17"/>
  <c r="G23" i="17"/>
  <c r="F23" i="17"/>
  <c r="G52" i="17" s="1"/>
  <c r="I23" i="17"/>
  <c r="J52" i="17" s="1"/>
  <c r="H23" i="17"/>
  <c r="L17" i="17"/>
  <c r="B30" i="11"/>
  <c r="C30" i="11"/>
  <c r="D30" i="11"/>
  <c r="E126" i="11"/>
  <c r="F126" i="11" s="1"/>
  <c r="E59" i="11"/>
  <c r="F59" i="11" s="1"/>
  <c r="C128" i="11"/>
  <c r="D128" i="11"/>
  <c r="B128" i="11"/>
  <c r="C119" i="11"/>
  <c r="D119" i="11"/>
  <c r="B119" i="11"/>
  <c r="E133" i="11"/>
  <c r="E71" i="11"/>
  <c r="E67" i="11"/>
  <c r="E65" i="11" s="1"/>
  <c r="E123" i="11"/>
  <c r="C116" i="11"/>
  <c r="D116" i="11"/>
  <c r="B116" i="11"/>
  <c r="E49" i="16"/>
  <c r="D7" i="16"/>
  <c r="D5" i="16"/>
  <c r="E137" i="10"/>
  <c r="E99" i="10"/>
  <c r="E61" i="10"/>
  <c r="E31" i="10"/>
  <c r="F61" i="10"/>
  <c r="H61" i="10"/>
  <c r="E78" i="10"/>
  <c r="F57" i="11"/>
  <c r="G57" i="11"/>
  <c r="H57" i="11"/>
  <c r="I57" i="11"/>
  <c r="E57" i="11"/>
  <c r="E56" i="11" s="1"/>
  <c r="E62" i="10"/>
  <c r="I56" i="10"/>
  <c r="I59" i="10"/>
  <c r="F46" i="11"/>
  <c r="G46" i="11"/>
  <c r="H46" i="11"/>
  <c r="I46" i="11"/>
  <c r="E46" i="11"/>
  <c r="E60" i="11" s="1"/>
  <c r="E51" i="10"/>
  <c r="E53" i="10"/>
  <c r="C53" i="11"/>
  <c r="D53" i="11"/>
  <c r="B53" i="11"/>
  <c r="D48" i="11"/>
  <c r="C48" i="11"/>
  <c r="D53" i="10"/>
  <c r="C53" i="10"/>
  <c r="B53" i="10"/>
  <c r="E138" i="16"/>
  <c r="E137" i="16"/>
  <c r="E13" i="16"/>
  <c r="F13" i="16" s="1"/>
  <c r="E76" i="16"/>
  <c r="E39" i="16"/>
  <c r="F39" i="16" s="1"/>
  <c r="F106" i="16" s="1"/>
  <c r="E51" i="16"/>
  <c r="E40" i="16"/>
  <c r="E107" i="16" s="1"/>
  <c r="D153" i="16"/>
  <c r="E127" i="16"/>
  <c r="E120" i="16"/>
  <c r="F86" i="16"/>
  <c r="G86" i="16" s="1"/>
  <c r="H86" i="16" s="1"/>
  <c r="I86" i="16" s="1"/>
  <c r="F85" i="16"/>
  <c r="G85" i="16" s="1"/>
  <c r="H85" i="16" s="1"/>
  <c r="I85" i="16" s="1"/>
  <c r="F82" i="16"/>
  <c r="G82" i="16" s="1"/>
  <c r="H82" i="16" s="1"/>
  <c r="I82" i="16" s="1"/>
  <c r="F81" i="16"/>
  <c r="G81" i="16" s="1"/>
  <c r="H81" i="16" s="1"/>
  <c r="I81" i="16" s="1"/>
  <c r="F73" i="16"/>
  <c r="E73" i="16"/>
  <c r="E121" i="16" s="1"/>
  <c r="G72" i="16"/>
  <c r="G120" i="16" s="1"/>
  <c r="E72" i="16"/>
  <c r="F72" i="16" s="1"/>
  <c r="F120" i="16" s="1"/>
  <c r="E71" i="16"/>
  <c r="E70" i="16"/>
  <c r="F69" i="16"/>
  <c r="G69" i="16" s="1"/>
  <c r="H69" i="16" s="1"/>
  <c r="I69" i="16" s="1"/>
  <c r="E69" i="16"/>
  <c r="E140" i="16"/>
  <c r="E139" i="16"/>
  <c r="F63" i="16"/>
  <c r="E115" i="16"/>
  <c r="G62" i="16"/>
  <c r="G114" i="16" s="1"/>
  <c r="F62" i="16"/>
  <c r="F114" i="16" s="1"/>
  <c r="G59" i="16"/>
  <c r="F59" i="16"/>
  <c r="F111" i="16" s="1"/>
  <c r="E111" i="16"/>
  <c r="F138" i="16"/>
  <c r="F51" i="16"/>
  <c r="G51" i="16" s="1"/>
  <c r="H51" i="16" s="1"/>
  <c r="I51" i="16" s="1"/>
  <c r="E48" i="16"/>
  <c r="F48" i="16" s="1"/>
  <c r="F129" i="16" s="1"/>
  <c r="E46" i="16"/>
  <c r="G45" i="16"/>
  <c r="F45" i="16"/>
  <c r="F127" i="16" s="1"/>
  <c r="E45" i="16"/>
  <c r="E41" i="16"/>
  <c r="E108" i="16" s="1"/>
  <c r="F30" i="16"/>
  <c r="G30" i="16" s="1"/>
  <c r="H30" i="16" s="1"/>
  <c r="I30" i="16" s="1"/>
  <c r="F26" i="16"/>
  <c r="G26" i="16" s="1"/>
  <c r="H26" i="16" s="1"/>
  <c r="I26" i="16" s="1"/>
  <c r="E26" i="16"/>
  <c r="E25" i="16"/>
  <c r="F25" i="16" s="1"/>
  <c r="G25" i="16" s="1"/>
  <c r="H25" i="16" s="1"/>
  <c r="I25" i="16" s="1"/>
  <c r="E20" i="16"/>
  <c r="E19" i="16"/>
  <c r="F19" i="16" s="1"/>
  <c r="F101" i="16" s="1"/>
  <c r="E14" i="16"/>
  <c r="E7" i="16"/>
  <c r="F7" i="16" s="1"/>
  <c r="G7" i="16" s="1"/>
  <c r="H7" i="16" s="1"/>
  <c r="I7" i="16" s="1"/>
  <c r="E5" i="16"/>
  <c r="D39" i="15"/>
  <c r="G203" i="10"/>
  <c r="I201" i="10" s="1"/>
  <c r="J201" i="10" s="1"/>
  <c r="E48" i="11" l="1"/>
  <c r="F48" i="11" s="1"/>
  <c r="G48" i="11" s="1"/>
  <c r="H48" i="11" s="1"/>
  <c r="I48" i="11" s="1"/>
  <c r="E116" i="11"/>
  <c r="F116" i="11" s="1"/>
  <c r="H52" i="17"/>
  <c r="K48" i="17"/>
  <c r="J24" i="17"/>
  <c r="K53" i="17" s="1"/>
  <c r="C25" i="17"/>
  <c r="G24" i="17"/>
  <c r="H53" i="17" s="1"/>
  <c r="F24" i="17"/>
  <c r="G53" i="17" s="1"/>
  <c r="I24" i="17"/>
  <c r="J53" i="17" s="1"/>
  <c r="H24" i="17"/>
  <c r="I53" i="17" s="1"/>
  <c r="G40" i="17"/>
  <c r="K40" i="17"/>
  <c r="F40" i="17"/>
  <c r="I40" i="17"/>
  <c r="J40" i="17"/>
  <c r="H40" i="17"/>
  <c r="I52" i="17"/>
  <c r="K35" i="17"/>
  <c r="K20" i="17" s="1"/>
  <c r="L32" i="17"/>
  <c r="K34" i="17"/>
  <c r="E119" i="11"/>
  <c r="F119" i="11" s="1"/>
  <c r="G119" i="11" s="1"/>
  <c r="E128" i="11"/>
  <c r="F128" i="11" s="1"/>
  <c r="E53" i="11"/>
  <c r="F53" i="11" s="1"/>
  <c r="G53" i="11" s="1"/>
  <c r="H53" i="11" s="1"/>
  <c r="I53" i="11" s="1"/>
  <c r="F60" i="11"/>
  <c r="G60" i="11" s="1"/>
  <c r="H60" i="11" s="1"/>
  <c r="I60" i="11" s="1"/>
  <c r="F133" i="11"/>
  <c r="G133" i="11" s="1"/>
  <c r="F56" i="11"/>
  <c r="F123" i="11"/>
  <c r="F71" i="11"/>
  <c r="E51" i="11"/>
  <c r="F51" i="11" s="1"/>
  <c r="G51" i="11" s="1"/>
  <c r="H51" i="11" s="1"/>
  <c r="F40" i="16"/>
  <c r="G40" i="16" s="1"/>
  <c r="H40" i="16" s="1"/>
  <c r="I40" i="16" s="1"/>
  <c r="E47" i="16"/>
  <c r="E9" i="16"/>
  <c r="G39" i="16"/>
  <c r="G106" i="16" s="1"/>
  <c r="E10" i="16"/>
  <c r="H72" i="16"/>
  <c r="F14" i="16"/>
  <c r="G14" i="16" s="1"/>
  <c r="H14" i="16" s="1"/>
  <c r="I14" i="16" s="1"/>
  <c r="G48" i="16"/>
  <c r="G19" i="16"/>
  <c r="F107" i="16"/>
  <c r="G58" i="16"/>
  <c r="E118" i="16"/>
  <c r="F70" i="16"/>
  <c r="F121" i="16"/>
  <c r="G73" i="16"/>
  <c r="E113" i="16"/>
  <c r="F61" i="16"/>
  <c r="G127" i="16"/>
  <c r="H45" i="16"/>
  <c r="E42" i="16"/>
  <c r="F20" i="16"/>
  <c r="F41" i="16"/>
  <c r="F46" i="16"/>
  <c r="E128" i="16"/>
  <c r="H62" i="16"/>
  <c r="E119" i="16"/>
  <c r="F71" i="16"/>
  <c r="G13" i="16"/>
  <c r="E131" i="16"/>
  <c r="F5" i="16"/>
  <c r="G111" i="16"/>
  <c r="H59" i="16"/>
  <c r="F47" i="16"/>
  <c r="G47" i="16" s="1"/>
  <c r="F60" i="16"/>
  <c r="E112" i="16"/>
  <c r="E123" i="16" s="1"/>
  <c r="G63" i="16"/>
  <c r="F115" i="16"/>
  <c r="E143" i="16"/>
  <c r="F68" i="16"/>
  <c r="F80" i="16"/>
  <c r="E129" i="16"/>
  <c r="F66" i="16"/>
  <c r="G66" i="16" s="1"/>
  <c r="H66" i="16" s="1"/>
  <c r="I66" i="16" s="1"/>
  <c r="E114" i="16"/>
  <c r="I202" i="10"/>
  <c r="J202" i="10" s="1"/>
  <c r="J205" i="10" s="1"/>
  <c r="E4" i="13"/>
  <c r="D4" i="13"/>
  <c r="C4" i="13"/>
  <c r="E3" i="13"/>
  <c r="D3" i="13"/>
  <c r="C3" i="13"/>
  <c r="E2" i="13"/>
  <c r="D2" i="13"/>
  <c r="C2" i="13"/>
  <c r="L1" i="13"/>
  <c r="K1" i="13"/>
  <c r="J1" i="13"/>
  <c r="I1" i="13"/>
  <c r="H1" i="13"/>
  <c r="G1" i="13"/>
  <c r="F1" i="13"/>
  <c r="E1" i="13"/>
  <c r="D1" i="13"/>
  <c r="C1" i="13"/>
  <c r="B4" i="13"/>
  <c r="B3" i="13"/>
  <c r="E49" i="11" l="1"/>
  <c r="L49" i="17"/>
  <c r="K19" i="17"/>
  <c r="L34" i="17"/>
  <c r="L35" i="17"/>
  <c r="L20" i="17" s="1"/>
  <c r="L40" i="17"/>
  <c r="I25" i="17"/>
  <c r="K25" i="17"/>
  <c r="L54" i="17" s="1"/>
  <c r="H25" i="17"/>
  <c r="J25" i="17"/>
  <c r="K54" i="17" s="1"/>
  <c r="F25" i="17"/>
  <c r="G25" i="17"/>
  <c r="G56" i="11"/>
  <c r="I54" i="11"/>
  <c r="E117" i="11"/>
  <c r="E54" i="11"/>
  <c r="E63" i="11"/>
  <c r="G116" i="11"/>
  <c r="F117" i="11"/>
  <c r="G126" i="11"/>
  <c r="H119" i="11"/>
  <c r="G123" i="11"/>
  <c r="G71" i="11"/>
  <c r="H133" i="11"/>
  <c r="H56" i="11"/>
  <c r="G59" i="11"/>
  <c r="G128" i="11"/>
  <c r="F67" i="11"/>
  <c r="F65" i="11" s="1"/>
  <c r="F42" i="16"/>
  <c r="G42" i="16" s="1"/>
  <c r="I51" i="11"/>
  <c r="F49" i="11"/>
  <c r="F54" i="11"/>
  <c r="F63" i="11"/>
  <c r="H39" i="16"/>
  <c r="I39" i="16" s="1"/>
  <c r="I106" i="16" s="1"/>
  <c r="F128" i="16"/>
  <c r="F131" i="16" s="1"/>
  <c r="G46" i="16"/>
  <c r="F49" i="16"/>
  <c r="G60" i="16"/>
  <c r="G64" i="16" s="1"/>
  <c r="F112" i="16"/>
  <c r="F64" i="16"/>
  <c r="F108" i="16"/>
  <c r="G41" i="16"/>
  <c r="H106" i="16"/>
  <c r="F140" i="16"/>
  <c r="F137" i="16" s="1"/>
  <c r="F143" i="16" s="1"/>
  <c r="G68" i="16"/>
  <c r="F74" i="16"/>
  <c r="I59" i="16"/>
  <c r="I111" i="16" s="1"/>
  <c r="H111" i="16"/>
  <c r="F119" i="16"/>
  <c r="G71" i="16"/>
  <c r="G121" i="16"/>
  <c r="H73" i="16"/>
  <c r="G101" i="16"/>
  <c r="H19" i="16"/>
  <c r="H47" i="16" s="1"/>
  <c r="E22" i="16"/>
  <c r="E17" i="16"/>
  <c r="H127" i="16"/>
  <c r="I45" i="16"/>
  <c r="H58" i="16"/>
  <c r="G138" i="16"/>
  <c r="H13" i="16"/>
  <c r="G12" i="16"/>
  <c r="G61" i="16"/>
  <c r="F113" i="16"/>
  <c r="H120" i="16"/>
  <c r="I72" i="16"/>
  <c r="I120" i="16" s="1"/>
  <c r="F12" i="16"/>
  <c r="F102" i="16"/>
  <c r="G20" i="16"/>
  <c r="G80" i="16"/>
  <c r="G107" i="16"/>
  <c r="H114" i="16"/>
  <c r="I62" i="16"/>
  <c r="I114" i="16" s="1"/>
  <c r="F118" i="16"/>
  <c r="G70" i="16"/>
  <c r="G115" i="16"/>
  <c r="H63" i="16"/>
  <c r="F9" i="16"/>
  <c r="G5" i="16"/>
  <c r="G129" i="16"/>
  <c r="H48" i="16"/>
  <c r="D214" i="10"/>
  <c r="B212" i="10"/>
  <c r="B211" i="10"/>
  <c r="B201" i="10"/>
  <c r="D132" i="10"/>
  <c r="C132" i="10"/>
  <c r="B132" i="10"/>
  <c r="E166" i="10"/>
  <c r="E56" i="10"/>
  <c r="E27" i="10" s="1"/>
  <c r="E64" i="10"/>
  <c r="E32" i="10" s="1"/>
  <c r="E65" i="10"/>
  <c r="E33" i="10" s="1"/>
  <c r="F65" i="10" s="1"/>
  <c r="F33" i="10" s="1"/>
  <c r="G65" i="10" s="1"/>
  <c r="G33" i="10" s="1"/>
  <c r="H65" i="10" s="1"/>
  <c r="H33" i="10" s="1"/>
  <c r="I65" i="10" s="1"/>
  <c r="I33" i="10" s="1"/>
  <c r="E6" i="12"/>
  <c r="H7" i="12"/>
  <c r="H9" i="12"/>
  <c r="H12" i="12"/>
  <c r="H14" i="12"/>
  <c r="I15" i="12"/>
  <c r="I23" i="12"/>
  <c r="H31" i="12"/>
  <c r="I39" i="12"/>
  <c r="H44" i="12"/>
  <c r="I54" i="12"/>
  <c r="I55" i="12"/>
  <c r="H60" i="12"/>
  <c r="I63" i="12"/>
  <c r="I71" i="12"/>
  <c r="I79" i="12"/>
  <c r="H87" i="12"/>
  <c r="H88" i="12"/>
  <c r="G6" i="12"/>
  <c r="I10" i="12"/>
  <c r="I18" i="12"/>
  <c r="I19" i="12"/>
  <c r="I26" i="12"/>
  <c r="I27" i="12"/>
  <c r="I34" i="12"/>
  <c r="I42" i="12"/>
  <c r="I50" i="12"/>
  <c r="I51" i="12"/>
  <c r="I58" i="12"/>
  <c r="I59" i="12"/>
  <c r="I66" i="12"/>
  <c r="I67" i="12"/>
  <c r="I74" i="12"/>
  <c r="I82" i="12"/>
  <c r="I83" i="12"/>
  <c r="F6" i="12"/>
  <c r="F7" i="12" s="1"/>
  <c r="F8" i="12" s="1"/>
  <c r="F9" i="12" s="1"/>
  <c r="F10" i="12" s="1"/>
  <c r="F11" i="12" s="1"/>
  <c r="H18" i="12"/>
  <c r="H19" i="12"/>
  <c r="H22" i="12"/>
  <c r="H26" i="12"/>
  <c r="H30" i="12"/>
  <c r="H34" i="12"/>
  <c r="H35" i="12"/>
  <c r="H38" i="12"/>
  <c r="H42" i="12"/>
  <c r="H43" i="12"/>
  <c r="H46" i="12"/>
  <c r="H50" i="12"/>
  <c r="H51" i="12"/>
  <c r="H58" i="12"/>
  <c r="H59" i="12"/>
  <c r="H62" i="12"/>
  <c r="H66" i="12"/>
  <c r="H67" i="12"/>
  <c r="H70" i="12"/>
  <c r="H74" i="12"/>
  <c r="H75" i="12"/>
  <c r="H76" i="12"/>
  <c r="H78" i="12"/>
  <c r="H82" i="12"/>
  <c r="H83" i="12"/>
  <c r="H86" i="12"/>
  <c r="I43" i="12"/>
  <c r="I47" i="12"/>
  <c r="I75" i="12"/>
  <c r="I11" i="12"/>
  <c r="I12" i="12"/>
  <c r="I16" i="12"/>
  <c r="I35" i="12"/>
  <c r="I36" i="12"/>
  <c r="H10" i="12"/>
  <c r="H11" i="12"/>
  <c r="H20" i="12"/>
  <c r="H27" i="12"/>
  <c r="G10" i="3"/>
  <c r="H10" i="3"/>
  <c r="I10" i="3" s="1"/>
  <c r="F10" i="3"/>
  <c r="F18" i="3"/>
  <c r="G18" i="3" s="1"/>
  <c r="H18" i="3" s="1"/>
  <c r="I18" i="3" s="1"/>
  <c r="D98" i="11"/>
  <c r="D101" i="11" s="1"/>
  <c r="C98" i="11"/>
  <c r="C101" i="11" s="1"/>
  <c r="B98" i="11"/>
  <c r="B101" i="11" s="1"/>
  <c r="E106" i="10"/>
  <c r="F106" i="10" s="1"/>
  <c r="G106" i="10" s="1"/>
  <c r="E107" i="10"/>
  <c r="F107" i="10" s="1"/>
  <c r="G107" i="10" s="1"/>
  <c r="H107" i="10" s="1"/>
  <c r="I107" i="10" s="1"/>
  <c r="E108" i="10"/>
  <c r="E109" i="10"/>
  <c r="F109" i="10" s="1"/>
  <c r="G109" i="10" s="1"/>
  <c r="H109" i="10" s="1"/>
  <c r="I109" i="10" s="1"/>
  <c r="E110" i="10"/>
  <c r="F110" i="10" s="1"/>
  <c r="G110" i="10" s="1"/>
  <c r="H110" i="10" s="1"/>
  <c r="I110" i="10" s="1"/>
  <c r="E112" i="10"/>
  <c r="E113" i="10"/>
  <c r="E72" i="10"/>
  <c r="E70" i="10" s="1"/>
  <c r="E42" i="10" s="1"/>
  <c r="E76" i="10"/>
  <c r="E43" i="10" s="1"/>
  <c r="E44" i="10"/>
  <c r="F44" i="10" s="1"/>
  <c r="G44" i="10" s="1"/>
  <c r="H44" i="10" s="1"/>
  <c r="I44" i="10" s="1"/>
  <c r="E45" i="10"/>
  <c r="B120" i="10"/>
  <c r="C120" i="10"/>
  <c r="D120" i="10"/>
  <c r="B123" i="10"/>
  <c r="C123" i="10"/>
  <c r="D123" i="10"/>
  <c r="E93" i="10"/>
  <c r="E152" i="10" s="1"/>
  <c r="E94" i="10"/>
  <c r="E153" i="10" s="1"/>
  <c r="E101" i="10"/>
  <c r="E155" i="10" s="1"/>
  <c r="E102" i="10"/>
  <c r="E156" i="10" s="1"/>
  <c r="E103" i="10"/>
  <c r="D104" i="10"/>
  <c r="E104" i="10" s="1"/>
  <c r="E127" i="10"/>
  <c r="E89" i="10" s="1"/>
  <c r="E130" i="10"/>
  <c r="E92" i="10" s="1"/>
  <c r="F64" i="10" s="1"/>
  <c r="F32" i="10" s="1"/>
  <c r="F75" i="10"/>
  <c r="G75" i="10" s="1"/>
  <c r="H75" i="10" s="1"/>
  <c r="I75" i="10" s="1"/>
  <c r="F67" i="10"/>
  <c r="F45" i="10"/>
  <c r="G45" i="10" s="1"/>
  <c r="H45" i="10" s="1"/>
  <c r="I45" i="10" s="1"/>
  <c r="F120" i="10"/>
  <c r="G120" i="10" s="1"/>
  <c r="H120" i="10" s="1"/>
  <c r="I120" i="10" s="1"/>
  <c r="F93" i="10"/>
  <c r="F152" i="10" s="1"/>
  <c r="F94" i="10"/>
  <c r="F153" i="10" s="1"/>
  <c r="F101" i="10"/>
  <c r="F155" i="10" s="1"/>
  <c r="F126" i="10"/>
  <c r="F136" i="10"/>
  <c r="F166" i="10" s="1"/>
  <c r="G67" i="10"/>
  <c r="H67" i="10" s="1"/>
  <c r="I67" i="10" s="1"/>
  <c r="G136" i="10"/>
  <c r="G166" i="10" s="1"/>
  <c r="D24" i="3"/>
  <c r="E24" i="3"/>
  <c r="F24" i="3" s="1"/>
  <c r="G24" i="3" s="1"/>
  <c r="H24" i="3" s="1"/>
  <c r="I24" i="3" s="1"/>
  <c r="C24" i="3"/>
  <c r="F71" i="10"/>
  <c r="G71" i="10"/>
  <c r="H71" i="10"/>
  <c r="I71" i="10" s="1"/>
  <c r="B58" i="10"/>
  <c r="C58" i="10"/>
  <c r="D58" i="10"/>
  <c r="E91" i="10"/>
  <c r="D172" i="10"/>
  <c r="E170" i="10" s="1"/>
  <c r="B104" i="10"/>
  <c r="C104" i="10"/>
  <c r="F91" i="10"/>
  <c r="G91" i="10" s="1"/>
  <c r="H91" i="10" s="1"/>
  <c r="I91" i="10" s="1"/>
  <c r="F108" i="10"/>
  <c r="G108" i="10"/>
  <c r="H108" i="10"/>
  <c r="I108" i="10" s="1"/>
  <c r="F113" i="10"/>
  <c r="G113" i="10" s="1"/>
  <c r="H113" i="10" s="1"/>
  <c r="I113" i="10" s="1"/>
  <c r="D116" i="10"/>
  <c r="D82" i="10"/>
  <c r="D35" i="10"/>
  <c r="C23" i="3"/>
  <c r="I8" i="3"/>
  <c r="H8" i="3"/>
  <c r="G8" i="3"/>
  <c r="F8" i="3"/>
  <c r="E8" i="3"/>
  <c r="D8" i="3"/>
  <c r="C8" i="3"/>
  <c r="B8" i="3"/>
  <c r="I6" i="3"/>
  <c r="H6" i="3"/>
  <c r="G6" i="3"/>
  <c r="F6" i="3"/>
  <c r="E6" i="3"/>
  <c r="D6" i="3"/>
  <c r="C6" i="3"/>
  <c r="B6" i="3"/>
  <c r="B213" i="10"/>
  <c r="C211" i="10" s="1"/>
  <c r="C212" i="10"/>
  <c r="H126" i="11" l="1"/>
  <c r="G54" i="17"/>
  <c r="F27" i="17"/>
  <c r="I54" i="17"/>
  <c r="J54" i="17"/>
  <c r="H54" i="17"/>
  <c r="L48" i="17"/>
  <c r="L19" i="17"/>
  <c r="E120" i="11"/>
  <c r="E129" i="11"/>
  <c r="F129" i="11"/>
  <c r="H123" i="11"/>
  <c r="F120" i="11"/>
  <c r="G117" i="11"/>
  <c r="H116" i="11"/>
  <c r="I119" i="11"/>
  <c r="I133" i="11"/>
  <c r="I56" i="11"/>
  <c r="H59" i="11"/>
  <c r="H128" i="11"/>
  <c r="G54" i="11"/>
  <c r="G49" i="11"/>
  <c r="G129" i="11" s="1"/>
  <c r="G63" i="11"/>
  <c r="E59" i="10"/>
  <c r="E54" i="10"/>
  <c r="E23" i="10" s="1"/>
  <c r="F123" i="16"/>
  <c r="H129" i="16"/>
  <c r="I48" i="16"/>
  <c r="I129" i="16" s="1"/>
  <c r="G102" i="16"/>
  <c r="H20" i="16"/>
  <c r="H42" i="16" s="1"/>
  <c r="I13" i="16"/>
  <c r="I12" i="16" s="1"/>
  <c r="H12" i="16"/>
  <c r="E23" i="16"/>
  <c r="I63" i="16"/>
  <c r="I115" i="16" s="1"/>
  <c r="H115" i="16"/>
  <c r="G128" i="16"/>
  <c r="G131" i="16" s="1"/>
  <c r="H46" i="16"/>
  <c r="G49" i="16"/>
  <c r="H70" i="16"/>
  <c r="G118" i="16"/>
  <c r="H80" i="16"/>
  <c r="G113" i="16"/>
  <c r="H61" i="16"/>
  <c r="G108" i="16"/>
  <c r="H41" i="16"/>
  <c r="H101" i="16"/>
  <c r="I19" i="16"/>
  <c r="I101" i="16" s="1"/>
  <c r="F76" i="16"/>
  <c r="G9" i="16"/>
  <c r="H5" i="16"/>
  <c r="H68" i="16"/>
  <c r="G140" i="16"/>
  <c r="G137" i="16" s="1"/>
  <c r="G143" i="16" s="1"/>
  <c r="G74" i="16"/>
  <c r="G76" i="16" s="1"/>
  <c r="F16" i="16"/>
  <c r="F10" i="16"/>
  <c r="H107" i="16"/>
  <c r="I107" i="16"/>
  <c r="H138" i="16"/>
  <c r="I58" i="16"/>
  <c r="I73" i="16"/>
  <c r="I121" i="16" s="1"/>
  <c r="H121" i="16"/>
  <c r="H60" i="16"/>
  <c r="G112" i="16"/>
  <c r="I127" i="16"/>
  <c r="G119" i="16"/>
  <c r="H71" i="16"/>
  <c r="I7" i="12"/>
  <c r="I87" i="12"/>
  <c r="H15" i="12"/>
  <c r="H55" i="12"/>
  <c r="I31" i="12"/>
  <c r="H54" i="12"/>
  <c r="I78" i="12"/>
  <c r="I62" i="12"/>
  <c r="I46" i="12"/>
  <c r="I38" i="12"/>
  <c r="I30" i="12"/>
  <c r="I22" i="12"/>
  <c r="I14" i="12"/>
  <c r="I81" i="12"/>
  <c r="I57" i="12"/>
  <c r="I49" i="12"/>
  <c r="F12" i="12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H79" i="12"/>
  <c r="H71" i="12"/>
  <c r="H63" i="12"/>
  <c r="H47" i="12"/>
  <c r="H39" i="12"/>
  <c r="H23" i="12"/>
  <c r="I13" i="12"/>
  <c r="I80" i="12"/>
  <c r="H72" i="12"/>
  <c r="H64" i="12"/>
  <c r="H56" i="12"/>
  <c r="I48" i="12"/>
  <c r="H40" i="12"/>
  <c r="I32" i="12"/>
  <c r="I24" i="12"/>
  <c r="H16" i="12"/>
  <c r="I8" i="12"/>
  <c r="H49" i="12"/>
  <c r="H80" i="12"/>
  <c r="E7" i="12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H24" i="12"/>
  <c r="I77" i="12"/>
  <c r="I69" i="12"/>
  <c r="I61" i="12"/>
  <c r="I45" i="12"/>
  <c r="I37" i="12"/>
  <c r="I29" i="12"/>
  <c r="H8" i="12"/>
  <c r="I73" i="12"/>
  <c r="I41" i="12"/>
  <c r="I92" i="12" s="1"/>
  <c r="I25" i="12"/>
  <c r="I17" i="12"/>
  <c r="H68" i="12"/>
  <c r="H52" i="12"/>
  <c r="H36" i="12"/>
  <c r="I28" i="12"/>
  <c r="I20" i="12"/>
  <c r="H81" i="12"/>
  <c r="H73" i="12"/>
  <c r="H57" i="12"/>
  <c r="H41" i="12"/>
  <c r="H33" i="12"/>
  <c r="H77" i="12"/>
  <c r="H61" i="12"/>
  <c r="H29" i="12"/>
  <c r="H69" i="12"/>
  <c r="H48" i="12"/>
  <c r="C93" i="12"/>
  <c r="I84" i="12"/>
  <c r="I76" i="12"/>
  <c r="I68" i="12"/>
  <c r="I60" i="12"/>
  <c r="I52" i="12"/>
  <c r="I44" i="12"/>
  <c r="H32" i="12"/>
  <c r="I6" i="12"/>
  <c r="I64" i="12"/>
  <c r="E132" i="10"/>
  <c r="H28" i="12"/>
  <c r="H6" i="12"/>
  <c r="I88" i="12"/>
  <c r="I72" i="12"/>
  <c r="I56" i="12"/>
  <c r="H37" i="12"/>
  <c r="F102" i="10"/>
  <c r="F156" i="10" s="1"/>
  <c r="I9" i="12"/>
  <c r="I86" i="12"/>
  <c r="I70" i="12"/>
  <c r="G7" i="12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D98" i="12" s="1"/>
  <c r="I33" i="12"/>
  <c r="E180" i="10"/>
  <c r="F2" i="13"/>
  <c r="G101" i="10"/>
  <c r="G155" i="10" s="1"/>
  <c r="G94" i="10"/>
  <c r="G93" i="10"/>
  <c r="H136" i="10"/>
  <c r="H166" i="10" s="1"/>
  <c r="F56" i="10"/>
  <c r="F27" i="10" s="1"/>
  <c r="F51" i="10"/>
  <c r="F104" i="10"/>
  <c r="E158" i="10"/>
  <c r="E123" i="10"/>
  <c r="C91" i="12"/>
  <c r="H13" i="12"/>
  <c r="H106" i="10"/>
  <c r="E157" i="10"/>
  <c r="F103" i="10"/>
  <c r="E147" i="10"/>
  <c r="E186" i="10"/>
  <c r="E95" i="10"/>
  <c r="E181" i="10"/>
  <c r="F53" i="10"/>
  <c r="B92" i="12"/>
  <c r="I53" i="12"/>
  <c r="H53" i="12"/>
  <c r="E146" i="10"/>
  <c r="E185" i="10"/>
  <c r="E90" i="10"/>
  <c r="B91" i="12"/>
  <c r="H101" i="10"/>
  <c r="E162" i="10"/>
  <c r="I21" i="12"/>
  <c r="I40" i="12"/>
  <c r="D92" i="12"/>
  <c r="I65" i="12"/>
  <c r="H65" i="12"/>
  <c r="D23" i="3"/>
  <c r="G102" i="10"/>
  <c r="H45" i="12"/>
  <c r="C92" i="12"/>
  <c r="F127" i="10"/>
  <c r="F89" i="10" s="1"/>
  <c r="E161" i="10"/>
  <c r="I85" i="12"/>
  <c r="H85" i="12"/>
  <c r="E58" i="10"/>
  <c r="F130" i="10"/>
  <c r="F92" i="10" s="1"/>
  <c r="D91" i="12"/>
  <c r="H21" i="12"/>
  <c r="H84" i="12"/>
  <c r="H25" i="12"/>
  <c r="I136" i="10"/>
  <c r="I166" i="10" s="1"/>
  <c r="D93" i="12"/>
  <c r="B200" i="10" s="1"/>
  <c r="E68" i="10"/>
  <c r="E34" i="10" s="1"/>
  <c r="F132" i="10"/>
  <c r="H17" i="12"/>
  <c r="B93" i="12"/>
  <c r="E121" i="10"/>
  <c r="E86" i="10" s="1"/>
  <c r="E150" i="10" s="1"/>
  <c r="I126" i="11" l="1"/>
  <c r="G120" i="11"/>
  <c r="I116" i="11"/>
  <c r="I117" i="11" s="1"/>
  <c r="H117" i="11"/>
  <c r="I123" i="11"/>
  <c r="I59" i="11"/>
  <c r="I128" i="11"/>
  <c r="H71" i="11"/>
  <c r="G67" i="11"/>
  <c r="H63" i="11"/>
  <c r="H54" i="11"/>
  <c r="H49" i="11"/>
  <c r="E182" i="10"/>
  <c r="G123" i="16"/>
  <c r="H119" i="16"/>
  <c r="I71" i="16"/>
  <c r="I119" i="16" s="1"/>
  <c r="I138" i="16"/>
  <c r="H108" i="16"/>
  <c r="I41" i="16"/>
  <c r="I108" i="16" s="1"/>
  <c r="H118" i="16"/>
  <c r="I70" i="16"/>
  <c r="I118" i="16" s="1"/>
  <c r="H137" i="16"/>
  <c r="H143" i="16" s="1"/>
  <c r="I68" i="16"/>
  <c r="H140" i="16"/>
  <c r="H74" i="16"/>
  <c r="H112" i="16"/>
  <c r="I60" i="16"/>
  <c r="I112" i="16" s="1"/>
  <c r="G16" i="16"/>
  <c r="G10" i="16"/>
  <c r="F17" i="16"/>
  <c r="F22" i="16"/>
  <c r="I80" i="16"/>
  <c r="H64" i="16"/>
  <c r="H76" i="16" s="1"/>
  <c r="E149" i="16"/>
  <c r="E87" i="16"/>
  <c r="E89" i="16" s="1"/>
  <c r="E35" i="16" s="1"/>
  <c r="F84" i="16"/>
  <c r="I47" i="16"/>
  <c r="H128" i="16"/>
  <c r="H131" i="16" s="1"/>
  <c r="I46" i="16"/>
  <c r="H49" i="16"/>
  <c r="H102" i="16"/>
  <c r="I20" i="16"/>
  <c r="I102" i="16" s="1"/>
  <c r="H9" i="16"/>
  <c r="I5" i="16"/>
  <c r="I9" i="16" s="1"/>
  <c r="I61" i="16"/>
  <c r="I113" i="16" s="1"/>
  <c r="H113" i="16"/>
  <c r="H92" i="12"/>
  <c r="D96" i="12"/>
  <c r="D97" i="12"/>
  <c r="I93" i="12"/>
  <c r="H93" i="12"/>
  <c r="I91" i="12"/>
  <c r="G56" i="10"/>
  <c r="H56" i="10" s="1"/>
  <c r="E163" i="10"/>
  <c r="E191" i="10" s="1"/>
  <c r="H93" i="10"/>
  <c r="G152" i="10"/>
  <c r="G153" i="10"/>
  <c r="H94" i="10"/>
  <c r="F22" i="10"/>
  <c r="G2" i="13" s="1"/>
  <c r="G51" i="10"/>
  <c r="G27" i="10"/>
  <c r="E133" i="10"/>
  <c r="E100" i="10" s="1"/>
  <c r="E154" i="10" s="1"/>
  <c r="E24" i="10"/>
  <c r="E25" i="10" s="1"/>
  <c r="B202" i="10"/>
  <c r="B205" i="10" s="1"/>
  <c r="B206" i="10" s="1"/>
  <c r="D215" i="10" s="1"/>
  <c r="D216" i="10" s="1"/>
  <c r="G93" i="12"/>
  <c r="F93" i="12"/>
  <c r="E124" i="10"/>
  <c r="E87" i="10" s="1"/>
  <c r="E151" i="10" s="1"/>
  <c r="F123" i="10"/>
  <c r="E39" i="12"/>
  <c r="J38" i="12"/>
  <c r="G92" i="12"/>
  <c r="F92" i="12"/>
  <c r="F157" i="10"/>
  <c r="G103" i="10"/>
  <c r="G156" i="10"/>
  <c r="H102" i="10"/>
  <c r="G127" i="10"/>
  <c r="G89" i="10" s="1"/>
  <c r="F161" i="10"/>
  <c r="G91" i="12"/>
  <c r="F91" i="12"/>
  <c r="G53" i="10"/>
  <c r="C96" i="12"/>
  <c r="C98" i="12"/>
  <c r="C97" i="12"/>
  <c r="H91" i="12"/>
  <c r="F158" i="10"/>
  <c r="G104" i="10"/>
  <c r="G64" i="10"/>
  <c r="G32" i="10" s="1"/>
  <c r="F162" i="10"/>
  <c r="G130" i="10"/>
  <c r="G92" i="10" s="1"/>
  <c r="F62" i="10"/>
  <c r="E23" i="3"/>
  <c r="H155" i="10"/>
  <c r="I101" i="10"/>
  <c r="I155" i="10" s="1"/>
  <c r="E88" i="10"/>
  <c r="F72" i="10" s="1"/>
  <c r="F70" i="10" s="1"/>
  <c r="F42" i="10" s="1"/>
  <c r="F76" i="10"/>
  <c r="F43" i="10" s="1"/>
  <c r="F95" i="10" s="1"/>
  <c r="I106" i="10"/>
  <c r="G132" i="10"/>
  <c r="E28" i="10"/>
  <c r="E26" i="10" s="1"/>
  <c r="E183" i="10" s="1"/>
  <c r="E184" i="10" s="1"/>
  <c r="E187" i="10" s="1"/>
  <c r="F58" i="10"/>
  <c r="H120" i="11" l="1"/>
  <c r="H129" i="11"/>
  <c r="G65" i="11"/>
  <c r="I42" i="16"/>
  <c r="I49" i="11"/>
  <c r="I129" i="11" s="1"/>
  <c r="I63" i="11"/>
  <c r="I10" i="16"/>
  <c r="I16" i="16"/>
  <c r="H16" i="16"/>
  <c r="H10" i="16"/>
  <c r="G22" i="16"/>
  <c r="G17" i="16"/>
  <c r="E38" i="16"/>
  <c r="E43" i="16" s="1"/>
  <c r="E53" i="16" s="1"/>
  <c r="H123" i="16"/>
  <c r="I64" i="16"/>
  <c r="I123" i="16"/>
  <c r="I128" i="16"/>
  <c r="I131" i="16" s="1"/>
  <c r="I49" i="16"/>
  <c r="F23" i="16"/>
  <c r="F28" i="16"/>
  <c r="F32" i="16" s="1"/>
  <c r="F83" i="16" s="1"/>
  <c r="G84" i="16" s="1"/>
  <c r="I140" i="16"/>
  <c r="I137" i="16" s="1"/>
  <c r="I143" i="16" s="1"/>
  <c r="I74" i="16"/>
  <c r="F54" i="10"/>
  <c r="F23" i="10" s="1"/>
  <c r="F181" i="10" s="1"/>
  <c r="F182" i="10" s="1"/>
  <c r="E159" i="10"/>
  <c r="E190" i="10" s="1"/>
  <c r="H153" i="10"/>
  <c r="I94" i="10"/>
  <c r="I153" i="10" s="1"/>
  <c r="H152" i="10"/>
  <c r="I93" i="10"/>
  <c r="I152" i="10" s="1"/>
  <c r="H51" i="10"/>
  <c r="G22" i="10"/>
  <c r="H2" i="13" s="1"/>
  <c r="F180" i="10"/>
  <c r="F68" i="10"/>
  <c r="F34" i="10" s="1"/>
  <c r="F121" i="10"/>
  <c r="F86" i="10" s="1"/>
  <c r="F150" i="10" s="1"/>
  <c r="I27" i="10"/>
  <c r="H27" i="10"/>
  <c r="E188" i="10"/>
  <c r="E189" i="10" s="1"/>
  <c r="G76" i="10"/>
  <c r="G43" i="10" s="1"/>
  <c r="G95" i="10" s="1"/>
  <c r="H127" i="10"/>
  <c r="H89" i="10" s="1"/>
  <c r="G161" i="10"/>
  <c r="F59" i="10"/>
  <c r="F28" i="10" s="1"/>
  <c r="F26" i="10" s="1"/>
  <c r="F183" i="10" s="1"/>
  <c r="G58" i="10"/>
  <c r="E40" i="12"/>
  <c r="J39" i="12"/>
  <c r="G62" i="10"/>
  <c r="F23" i="3"/>
  <c r="G158" i="10"/>
  <c r="H104" i="10"/>
  <c r="H53" i="10"/>
  <c r="H64" i="10"/>
  <c r="H32" i="10" s="1"/>
  <c r="G162" i="10"/>
  <c r="H130" i="10"/>
  <c r="H92" i="10" s="1"/>
  <c r="H132" i="10"/>
  <c r="F147" i="10"/>
  <c r="F186" i="10"/>
  <c r="G157" i="10"/>
  <c r="H103" i="10"/>
  <c r="G123" i="10"/>
  <c r="F146" i="10"/>
  <c r="F185" i="10"/>
  <c r="I102" i="10"/>
  <c r="I156" i="10" s="1"/>
  <c r="H156" i="10"/>
  <c r="F90" i="10"/>
  <c r="E29" i="10"/>
  <c r="F163" i="10"/>
  <c r="F191" i="10" s="1"/>
  <c r="H67" i="11" l="1"/>
  <c r="H65" i="11" s="1"/>
  <c r="I120" i="11"/>
  <c r="I71" i="11"/>
  <c r="F133" i="10"/>
  <c r="F100" i="10" s="1"/>
  <c r="F154" i="10" s="1"/>
  <c r="F159" i="10" s="1"/>
  <c r="F190" i="10" s="1"/>
  <c r="F124" i="10"/>
  <c r="F87" i="10" s="1"/>
  <c r="F151" i="10" s="1"/>
  <c r="F24" i="10"/>
  <c r="F29" i="10" s="1"/>
  <c r="G28" i="16"/>
  <c r="G32" i="16" s="1"/>
  <c r="G83" i="16" s="1"/>
  <c r="H84" i="16" s="1"/>
  <c r="G23" i="16"/>
  <c r="F99" i="16"/>
  <c r="F103" i="16" s="1"/>
  <c r="F149" i="16" s="1"/>
  <c r="F153" i="16" s="1"/>
  <c r="F87" i="16"/>
  <c r="F89" i="16" s="1"/>
  <c r="H17" i="16"/>
  <c r="H22" i="16"/>
  <c r="E91" i="16"/>
  <c r="I76" i="16"/>
  <c r="I22" i="16"/>
  <c r="I17" i="16"/>
  <c r="G54" i="10"/>
  <c r="G23" i="10" s="1"/>
  <c r="G133" i="10" s="1"/>
  <c r="G100" i="10" s="1"/>
  <c r="G154" i="10" s="1"/>
  <c r="E192" i="10"/>
  <c r="G68" i="10"/>
  <c r="G34" i="10" s="1"/>
  <c r="G180" i="10"/>
  <c r="G121" i="10"/>
  <c r="G86" i="10" s="1"/>
  <c r="G150" i="10" s="1"/>
  <c r="H22" i="10"/>
  <c r="I2" i="13" s="1"/>
  <c r="I51" i="10"/>
  <c r="I22" i="10" s="1"/>
  <c r="J2" i="13" s="1"/>
  <c r="H76" i="10"/>
  <c r="H43" i="10" s="1"/>
  <c r="H95" i="10" s="1"/>
  <c r="I64" i="10"/>
  <c r="I32" i="10" s="1"/>
  <c r="H162" i="10"/>
  <c r="I130" i="10"/>
  <c r="I92" i="10" s="1"/>
  <c r="I162" i="10" s="1"/>
  <c r="H158" i="10"/>
  <c r="I104" i="10"/>
  <c r="I158" i="10" s="1"/>
  <c r="G59" i="10"/>
  <c r="G28" i="10" s="1"/>
  <c r="G26" i="10" s="1"/>
  <c r="G183" i="10" s="1"/>
  <c r="H58" i="10"/>
  <c r="H123" i="10"/>
  <c r="E35" i="10"/>
  <c r="E41" i="10"/>
  <c r="E46" i="10" s="1"/>
  <c r="E30" i="10"/>
  <c r="H62" i="10"/>
  <c r="G23" i="3"/>
  <c r="F88" i="10"/>
  <c r="G72" i="10" s="1"/>
  <c r="G70" i="10" s="1"/>
  <c r="G42" i="10" s="1"/>
  <c r="H157" i="10"/>
  <c r="I103" i="10"/>
  <c r="I157" i="10" s="1"/>
  <c r="I53" i="10"/>
  <c r="F25" i="10"/>
  <c r="G147" i="10"/>
  <c r="G186" i="10"/>
  <c r="F184" i="10"/>
  <c r="F187" i="10" s="1"/>
  <c r="G163" i="10"/>
  <c r="G191" i="10" s="1"/>
  <c r="I132" i="10"/>
  <c r="E41" i="12"/>
  <c r="J40" i="12"/>
  <c r="I127" i="10"/>
  <c r="I89" i="10" s="1"/>
  <c r="H161" i="10"/>
  <c r="H163" i="10" s="1"/>
  <c r="H191" i="10" s="1"/>
  <c r="I67" i="11" l="1"/>
  <c r="I65" i="11" s="1"/>
  <c r="I54" i="10"/>
  <c r="I23" i="10" s="1"/>
  <c r="G124" i="10"/>
  <c r="G87" i="10" s="1"/>
  <c r="G151" i="10" s="1"/>
  <c r="G159" i="10" s="1"/>
  <c r="G190" i="10" s="1"/>
  <c r="G24" i="10"/>
  <c r="G181" i="10"/>
  <c r="G182" i="10" s="1"/>
  <c r="G184" i="10" s="1"/>
  <c r="G187" i="10" s="1"/>
  <c r="F38" i="16"/>
  <c r="F43" i="16" s="1"/>
  <c r="F53" i="16" s="1"/>
  <c r="G99" i="16"/>
  <c r="G103" i="16" s="1"/>
  <c r="G149" i="16" s="1"/>
  <c r="G87" i="16"/>
  <c r="G89" i="16" s="1"/>
  <c r="I28" i="16"/>
  <c r="I32" i="16" s="1"/>
  <c r="I83" i="16" s="1"/>
  <c r="I23" i="16"/>
  <c r="H28" i="16"/>
  <c r="H32" i="16" s="1"/>
  <c r="H83" i="16" s="1"/>
  <c r="I84" i="16" s="1"/>
  <c r="H23" i="16"/>
  <c r="H54" i="10"/>
  <c r="H23" i="10" s="1"/>
  <c r="H133" i="10" s="1"/>
  <c r="H100" i="10" s="1"/>
  <c r="H154" i="10" s="1"/>
  <c r="E47" i="10"/>
  <c r="F3" i="13"/>
  <c r="I121" i="10"/>
  <c r="I86" i="10" s="1"/>
  <c r="I180" i="10"/>
  <c r="I68" i="10"/>
  <c r="I34" i="10" s="1"/>
  <c r="H68" i="10"/>
  <c r="H34" i="10" s="1"/>
  <c r="H121" i="10"/>
  <c r="H86" i="10" s="1"/>
  <c r="H150" i="10" s="1"/>
  <c r="H180" i="10"/>
  <c r="I133" i="10"/>
  <c r="I100" i="10" s="1"/>
  <c r="I154" i="10" s="1"/>
  <c r="I181" i="10"/>
  <c r="I24" i="10"/>
  <c r="H59" i="10"/>
  <c r="H28" i="10" s="1"/>
  <c r="H26" i="10" s="1"/>
  <c r="H183" i="10" s="1"/>
  <c r="I58" i="10"/>
  <c r="I28" i="10" s="1"/>
  <c r="I26" i="10" s="1"/>
  <c r="I183" i="10" s="1"/>
  <c r="G146" i="10"/>
  <c r="G185" i="10"/>
  <c r="I161" i="10"/>
  <c r="I163" i="10" s="1"/>
  <c r="I191" i="10" s="1"/>
  <c r="G90" i="10"/>
  <c r="E36" i="10"/>
  <c r="E37" i="10" s="1"/>
  <c r="F188" i="10"/>
  <c r="F189" i="10" s="1"/>
  <c r="F192" i="10" s="1"/>
  <c r="E42" i="12"/>
  <c r="J41" i="12"/>
  <c r="G29" i="10"/>
  <c r="G25" i="10"/>
  <c r="F41" i="10"/>
  <c r="F46" i="10" s="1"/>
  <c r="F30" i="10"/>
  <c r="I62" i="10"/>
  <c r="H23" i="3"/>
  <c r="I23" i="3" s="1"/>
  <c r="I76" i="10"/>
  <c r="I43" i="10" s="1"/>
  <c r="I123" i="10"/>
  <c r="I124" i="10" s="1"/>
  <c r="I87" i="10" s="1"/>
  <c r="H147" i="10"/>
  <c r="H186" i="10"/>
  <c r="H24" i="10" l="1"/>
  <c r="H124" i="10"/>
  <c r="H87" i="10" s="1"/>
  <c r="H151" i="10" s="1"/>
  <c r="H181" i="10"/>
  <c r="H182" i="10" s="1"/>
  <c r="H184" i="10" s="1"/>
  <c r="G153" i="16"/>
  <c r="G38" i="16" s="1"/>
  <c r="G43" i="16" s="1"/>
  <c r="G53" i="16" s="1"/>
  <c r="H99" i="16"/>
  <c r="H103" i="16" s="1"/>
  <c r="H149" i="16" s="1"/>
  <c r="H87" i="16"/>
  <c r="H89" i="16" s="1"/>
  <c r="F91" i="16"/>
  <c r="F35" i="16"/>
  <c r="I99" i="16"/>
  <c r="I103" i="16" s="1"/>
  <c r="I149" i="16" s="1"/>
  <c r="I87" i="16"/>
  <c r="I89" i="16" s="1"/>
  <c r="I182" i="10"/>
  <c r="I151" i="10"/>
  <c r="F47" i="10"/>
  <c r="G3" i="13"/>
  <c r="H159" i="10"/>
  <c r="H190" i="10" s="1"/>
  <c r="I150" i="10"/>
  <c r="E145" i="10"/>
  <c r="E148" i="10" s="1"/>
  <c r="E111" i="10"/>
  <c r="E38" i="10"/>
  <c r="I147" i="10"/>
  <c r="I186" i="10"/>
  <c r="H29" i="10"/>
  <c r="H25" i="10"/>
  <c r="G41" i="10"/>
  <c r="G46" i="10" s="1"/>
  <c r="G30" i="10"/>
  <c r="G188" i="10"/>
  <c r="G189" i="10" s="1"/>
  <c r="G192" i="10" s="1"/>
  <c r="E43" i="12"/>
  <c r="J42" i="12"/>
  <c r="G88" i="10"/>
  <c r="H72" i="10" s="1"/>
  <c r="H70" i="10" s="1"/>
  <c r="H42" i="10" s="1"/>
  <c r="I29" i="10"/>
  <c r="I25" i="10"/>
  <c r="I95" i="10"/>
  <c r="I184" i="10"/>
  <c r="I159" i="10" l="1"/>
  <c r="I190" i="10" s="1"/>
  <c r="H153" i="16"/>
  <c r="G35" i="16"/>
  <c r="G91" i="16"/>
  <c r="G47" i="10"/>
  <c r="H3" i="13"/>
  <c r="H30" i="10"/>
  <c r="H41" i="10"/>
  <c r="H46" i="10" s="1"/>
  <c r="I30" i="10"/>
  <c r="I41" i="10"/>
  <c r="H146" i="10"/>
  <c r="H185" i="10"/>
  <c r="H187" i="10" s="1"/>
  <c r="H90" i="10"/>
  <c r="F112" i="10"/>
  <c r="E114" i="10"/>
  <c r="E174" i="10"/>
  <c r="E165" i="10" s="1"/>
  <c r="F4" i="13" s="1"/>
  <c r="E44" i="12"/>
  <c r="J43" i="12"/>
  <c r="I153" i="16" l="1"/>
  <c r="I38" i="16" s="1"/>
  <c r="I43" i="16" s="1"/>
  <c r="I53" i="16" s="1"/>
  <c r="I91" i="16" s="1"/>
  <c r="H38" i="16"/>
  <c r="H43" i="16" s="1"/>
  <c r="H53" i="16" s="1"/>
  <c r="H35" i="16" s="1"/>
  <c r="H47" i="10"/>
  <c r="I3" i="13"/>
  <c r="H188" i="10"/>
  <c r="H189" i="10" s="1"/>
  <c r="H192" i="10" s="1"/>
  <c r="E167" i="10"/>
  <c r="E139" i="10"/>
  <c r="J44" i="12"/>
  <c r="E45" i="12"/>
  <c r="H88" i="10"/>
  <c r="I72" i="10" s="1"/>
  <c r="I70" i="10" s="1"/>
  <c r="I42" i="10" s="1"/>
  <c r="H91" i="16" l="1"/>
  <c r="I35" i="16"/>
  <c r="E169" i="10"/>
  <c r="E172" i="10" s="1"/>
  <c r="E85" i="10" s="1"/>
  <c r="E96" i="10" s="1"/>
  <c r="C170" i="10"/>
  <c r="I146" i="10"/>
  <c r="I185" i="10"/>
  <c r="I187" i="10" s="1"/>
  <c r="E105" i="10"/>
  <c r="E115" i="10" s="1"/>
  <c r="F31" i="10"/>
  <c r="F35" i="10" s="1"/>
  <c r="I90" i="10"/>
  <c r="I88" i="10" s="1"/>
  <c r="E46" i="12"/>
  <c r="J45" i="12"/>
  <c r="I46" i="10"/>
  <c r="F170" i="10" l="1"/>
  <c r="I47" i="10"/>
  <c r="J3" i="13"/>
  <c r="E116" i="10"/>
  <c r="F78" i="10"/>
  <c r="F36" i="10" s="1"/>
  <c r="F37" i="10" s="1"/>
  <c r="I188" i="10"/>
  <c r="I189" i="10" s="1"/>
  <c r="I192" i="10" s="1"/>
  <c r="E47" i="12"/>
  <c r="J46" i="12"/>
  <c r="E82" i="10"/>
  <c r="F145" i="10" l="1"/>
  <c r="F148" i="10" s="1"/>
  <c r="F38" i="10"/>
  <c r="F111" i="10"/>
  <c r="E48" i="12"/>
  <c r="J47" i="12"/>
  <c r="E49" i="12" l="1"/>
  <c r="J48" i="12"/>
  <c r="G112" i="10"/>
  <c r="F114" i="10"/>
  <c r="F174" i="10"/>
  <c r="F165" i="10" s="1"/>
  <c r="G4" i="13" s="1"/>
  <c r="F139" i="10" l="1"/>
  <c r="F137" i="10" s="1"/>
  <c r="F99" i="10" s="1"/>
  <c r="F167" i="10"/>
  <c r="F169" i="10" s="1"/>
  <c r="F172" i="10" s="1"/>
  <c r="E50" i="12"/>
  <c r="J49" i="12"/>
  <c r="E51" i="12" l="1"/>
  <c r="J50" i="12"/>
  <c r="G170" i="10"/>
  <c r="F85" i="10"/>
  <c r="F96" i="10" s="1"/>
  <c r="F105" i="10"/>
  <c r="F115" i="10" s="1"/>
  <c r="G61" i="10"/>
  <c r="G31" i="10" s="1"/>
  <c r="G35" i="10" s="1"/>
  <c r="H42" i="17" l="1"/>
  <c r="E136" i="11" s="1"/>
  <c r="F42" i="17"/>
  <c r="C136" i="11" s="1"/>
  <c r="G42" i="17"/>
  <c r="D136" i="11" s="1"/>
  <c r="F116" i="10"/>
  <c r="G78" i="10"/>
  <c r="G36" i="10" s="1"/>
  <c r="G37" i="10" s="1"/>
  <c r="F82" i="10"/>
  <c r="E52" i="12"/>
  <c r="J51" i="12"/>
  <c r="G145" i="10" l="1"/>
  <c r="G148" i="10" s="1"/>
  <c r="G38" i="10"/>
  <c r="G111" i="10"/>
  <c r="E53" i="12"/>
  <c r="J52" i="12"/>
  <c r="H56" i="17" l="1"/>
  <c r="E137" i="11" s="1"/>
  <c r="G27" i="17"/>
  <c r="G56" i="17"/>
  <c r="D137" i="11" s="1"/>
  <c r="E54" i="12"/>
  <c r="J53" i="12"/>
  <c r="H112" i="10"/>
  <c r="G114" i="10"/>
  <c r="G174" i="10"/>
  <c r="G165" i="10" s="1"/>
  <c r="H4" i="13" s="1"/>
  <c r="E73" i="11" l="1"/>
  <c r="G139" i="10"/>
  <c r="G137" i="10" s="1"/>
  <c r="G99" i="10" s="1"/>
  <c r="G167" i="10"/>
  <c r="G169" i="10" s="1"/>
  <c r="G172" i="10" s="1"/>
  <c r="E55" i="12"/>
  <c r="J54" i="12"/>
  <c r="E179" i="11" l="1"/>
  <c r="E56" i="12"/>
  <c r="J55" i="12"/>
  <c r="H170" i="10"/>
  <c r="G85" i="10"/>
  <c r="G96" i="10" s="1"/>
  <c r="G105" i="10"/>
  <c r="G115" i="10" s="1"/>
  <c r="H31" i="10"/>
  <c r="H35" i="10" s="1"/>
  <c r="G116" i="10" l="1"/>
  <c r="H78" i="10"/>
  <c r="H36" i="10" s="1"/>
  <c r="H37" i="10" s="1"/>
  <c r="G82" i="10"/>
  <c r="E57" i="12"/>
  <c r="J56" i="12"/>
  <c r="H145" i="10" l="1"/>
  <c r="H148" i="10" s="1"/>
  <c r="H111" i="10"/>
  <c r="H38" i="10"/>
  <c r="E58" i="12"/>
  <c r="J57" i="12"/>
  <c r="E59" i="12" l="1"/>
  <c r="J58" i="12"/>
  <c r="I112" i="10"/>
  <c r="H114" i="10"/>
  <c r="H174" i="10"/>
  <c r="H165" i="10" s="1"/>
  <c r="I4" i="13" s="1"/>
  <c r="H139" i="10" l="1"/>
  <c r="H137" i="10" s="1"/>
  <c r="H99" i="10" s="1"/>
  <c r="H167" i="10"/>
  <c r="H169" i="10" s="1"/>
  <c r="H172" i="10" s="1"/>
  <c r="E60" i="12"/>
  <c r="J59" i="12"/>
  <c r="E61" i="12" l="1"/>
  <c r="J60" i="12"/>
  <c r="I170" i="10"/>
  <c r="H85" i="10"/>
  <c r="H96" i="10" s="1"/>
  <c r="H105" i="10"/>
  <c r="H115" i="10" s="1"/>
  <c r="I61" i="10"/>
  <c r="I31" i="10" s="1"/>
  <c r="I35" i="10" s="1"/>
  <c r="H116" i="10" l="1"/>
  <c r="H82" i="10"/>
  <c r="I78" i="10"/>
  <c r="I36" i="10" s="1"/>
  <c r="I37" i="10" s="1"/>
  <c r="E62" i="12"/>
  <c r="J61" i="12"/>
  <c r="I145" i="10" l="1"/>
  <c r="I148" i="10" s="1"/>
  <c r="I38" i="10"/>
  <c r="I111" i="10"/>
  <c r="I114" i="10" s="1"/>
  <c r="E63" i="12"/>
  <c r="J62" i="12"/>
  <c r="E64" i="12" l="1"/>
  <c r="J63" i="12"/>
  <c r="I174" i="10"/>
  <c r="I165" i="10" s="1"/>
  <c r="J4" i="13" s="1"/>
  <c r="I167" i="10" l="1"/>
  <c r="I169" i="10" s="1"/>
  <c r="I172" i="10" s="1"/>
  <c r="I85" i="10" s="1"/>
  <c r="I96" i="10" s="1"/>
  <c r="I139" i="10"/>
  <c r="I137" i="10" s="1"/>
  <c r="I99" i="10" s="1"/>
  <c r="I105" i="10" s="1"/>
  <c r="I115" i="10" s="1"/>
  <c r="J64" i="12"/>
  <c r="E65" i="12"/>
  <c r="I116" i="10" l="1"/>
  <c r="E66" i="12"/>
  <c r="J65" i="12"/>
  <c r="I82" i="10"/>
  <c r="E67" i="12" l="1"/>
  <c r="J66" i="12"/>
  <c r="E68" i="12" l="1"/>
  <c r="J67" i="12"/>
  <c r="E69" i="12" l="1"/>
  <c r="J68" i="12"/>
  <c r="E70" i="12" l="1"/>
  <c r="J69" i="12"/>
  <c r="E71" i="12" l="1"/>
  <c r="J70" i="12"/>
  <c r="E72" i="12" l="1"/>
  <c r="J71" i="12"/>
  <c r="E73" i="12" l="1"/>
  <c r="J72" i="12"/>
  <c r="E74" i="12" l="1"/>
  <c r="J73" i="12"/>
  <c r="E75" i="12" l="1"/>
  <c r="J74" i="12"/>
  <c r="E76" i="12" l="1"/>
  <c r="J75" i="12"/>
  <c r="E77" i="12" l="1"/>
  <c r="J76" i="12"/>
  <c r="E78" i="12" l="1"/>
  <c r="J77" i="12"/>
  <c r="E79" i="12" l="1"/>
  <c r="J78" i="12"/>
  <c r="E80" i="12" l="1"/>
  <c r="J79" i="12"/>
  <c r="E81" i="12" l="1"/>
  <c r="J80" i="12"/>
  <c r="E82" i="12" l="1"/>
  <c r="J81" i="12"/>
  <c r="E83" i="12" l="1"/>
  <c r="J82" i="12"/>
  <c r="E84" i="12" l="1"/>
  <c r="J83" i="12"/>
  <c r="E85" i="12" l="1"/>
  <c r="J84" i="12"/>
  <c r="E86" i="12" l="1"/>
  <c r="J85" i="12"/>
  <c r="E87" i="12" l="1"/>
  <c r="J86" i="12"/>
  <c r="E88" i="12" l="1"/>
  <c r="J87" i="12"/>
  <c r="B97" i="12" l="1"/>
  <c r="B98" i="12"/>
  <c r="B96" i="12"/>
  <c r="J88" i="12"/>
  <c r="F96" i="12" l="1"/>
  <c r="G96" i="12"/>
  <c r="G98" i="12"/>
  <c r="F98" i="12"/>
  <c r="G97" i="12"/>
  <c r="F97" i="12"/>
  <c r="H13" i="17" l="1"/>
  <c r="L36" i="17" s="1"/>
  <c r="J36" i="17" l="1"/>
  <c r="K36" i="17"/>
  <c r="I36" i="17"/>
  <c r="I42" i="17" s="1"/>
  <c r="F136" i="11" s="1"/>
  <c r="H21" i="17"/>
  <c r="I21" i="17" l="1"/>
  <c r="H27" i="17"/>
  <c r="I50" i="17"/>
  <c r="I56" i="17" s="1"/>
  <c r="F137" i="11" s="1"/>
  <c r="E174" i="11"/>
  <c r="F73" i="11" l="1"/>
  <c r="E112" i="11"/>
  <c r="J50" i="17"/>
  <c r="J21" i="17"/>
  <c r="K50" i="17" l="1"/>
  <c r="K21" i="17"/>
  <c r="F179" i="11" l="1"/>
  <c r="I13" i="17" s="1"/>
  <c r="I22" i="17" s="1"/>
  <c r="J37" i="17"/>
  <c r="J42" i="17" s="1"/>
  <c r="G136" i="11" s="1"/>
  <c r="L50" i="17"/>
  <c r="L21" i="17"/>
  <c r="K37" i="17" l="1"/>
  <c r="L37" i="17"/>
  <c r="J22" i="17"/>
  <c r="J51" i="17"/>
  <c r="J56" i="17" s="1"/>
  <c r="G137" i="11" s="1"/>
  <c r="I27" i="17"/>
  <c r="F174" i="11" l="1"/>
  <c r="G73" i="11"/>
  <c r="K22" i="17"/>
  <c r="K51" i="17"/>
  <c r="F112" i="11" l="1"/>
  <c r="L51" i="17"/>
  <c r="L22" i="17"/>
  <c r="G179" i="11" l="1"/>
  <c r="J13" i="17" s="1"/>
  <c r="L38" i="17" s="1"/>
  <c r="J23" i="17" l="1"/>
  <c r="K38" i="17"/>
  <c r="K42" i="17" s="1"/>
  <c r="H136" i="11" s="1"/>
  <c r="G174" i="11" l="1"/>
  <c r="J27" i="17"/>
  <c r="K23" i="17"/>
  <c r="K52" i="17"/>
  <c r="K56" i="17" s="1"/>
  <c r="H137" i="11" s="1"/>
  <c r="H73" i="11" l="1"/>
  <c r="G112" i="11"/>
  <c r="L23" i="17"/>
  <c r="L52" i="17"/>
  <c r="H179" i="11" l="1"/>
  <c r="K13" i="17" l="1"/>
  <c r="H174" i="11" l="1"/>
  <c r="K24" i="17"/>
  <c r="L39" i="17"/>
  <c r="L42" i="17" s="1"/>
  <c r="I136" i="11" s="1"/>
  <c r="H112" i="11" l="1"/>
  <c r="L53" i="17"/>
  <c r="L56" i="17" s="1"/>
  <c r="I137" i="11" s="1"/>
  <c r="L24" i="17"/>
  <c r="K27" i="17"/>
  <c r="I73" i="11" l="1"/>
  <c r="I179" i="11" l="1"/>
  <c r="L13" i="17" l="1"/>
  <c r="L25" i="17" s="1"/>
  <c r="L27" i="17" s="1"/>
  <c r="I174" i="11" l="1"/>
  <c r="I11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Stacy Unongo</author>
  </authors>
  <commentList>
    <comment ref="C5" authorId="0" shapeId="0" xr:uid="{A3FCE331-242C-433A-B100-143FEEA7B740}">
      <text>
        <r>
          <rPr>
            <b/>
            <sz val="9"/>
            <color indexed="81"/>
            <rFont val="Tahoma"/>
            <family val="2"/>
          </rPr>
          <t>Títulos de renda fixa de dívida pública do governo norte-americano</t>
        </r>
      </text>
    </comment>
    <comment ref="D5" authorId="0" shapeId="0" xr:uid="{C31F0E08-0172-44EC-BB6E-14F19DD6C2CD}">
      <text>
        <r>
          <rPr>
            <b/>
            <sz val="9"/>
            <color indexed="81"/>
            <rFont val="Tahoma"/>
            <family val="2"/>
          </rPr>
          <t>Títulos de renda fixa de dívida pública do governo norte-americano</t>
        </r>
      </text>
    </comment>
    <comment ref="F5" authorId="0" shapeId="0" xr:uid="{9B39D4D8-8D4F-4F88-9EAB-FBCA5D2543FB}">
      <text>
        <r>
          <rPr>
            <b/>
            <sz val="9"/>
            <color indexed="81"/>
            <rFont val="Tahoma"/>
            <family val="2"/>
          </rPr>
          <t>Títulos de renda fixa de dívida pública do governo norte-americano</t>
        </r>
      </text>
    </comment>
    <comment ref="G5" authorId="0" shapeId="0" xr:uid="{33F4E66E-CACF-4A09-8AF0-DA2198C56D58}">
      <text>
        <r>
          <rPr>
            <b/>
            <sz val="9"/>
            <color indexed="81"/>
            <rFont val="Tahoma"/>
            <family val="2"/>
          </rPr>
          <t>Títulos de renda fixa de dívida pública do governo norte-americano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Mateo De Los Ríos</author>
  </authors>
  <commentList>
    <comment ref="A10" authorId="0" shapeId="0" xr:uid="{00000000-0006-0000-0200-000001000000}">
      <text>
        <r>
          <rPr>
            <sz val="9"/>
            <color indexed="81"/>
            <rFont val="Calibri"/>
            <family val="2"/>
          </rPr>
          <t xml:space="preserve">Taxa não estatística, apenas para fins educacionais
</t>
        </r>
      </text>
    </comment>
  </commentList>
</comments>
</file>

<file path=xl/sharedStrings.xml><?xml version="1.0" encoding="utf-8"?>
<sst xmlns="http://schemas.openxmlformats.org/spreadsheetml/2006/main" count="583" uniqueCount="434">
  <si>
    <t>(=) EBITDA</t>
  </si>
  <si>
    <t>(=) NOPLAT</t>
  </si>
  <si>
    <t>WACC</t>
  </si>
  <si>
    <t>ESTADOS FINANCIEROS</t>
  </si>
  <si>
    <t>Check</t>
  </si>
  <si>
    <t>Limpia Calles  S.A. - ESP</t>
  </si>
  <si>
    <t>Proyectar</t>
  </si>
  <si>
    <t>TRM</t>
  </si>
  <si>
    <t xml:space="preserve"> </t>
  </si>
  <si>
    <t>Gastos operacionales</t>
  </si>
  <si>
    <t xml:space="preserve">     Administración</t>
  </si>
  <si>
    <t>EBITDA</t>
  </si>
  <si>
    <t>Distriperdida S.A</t>
  </si>
  <si>
    <t>ACTIVO</t>
  </si>
  <si>
    <t xml:space="preserve">     Obligaciones con particulares</t>
  </si>
  <si>
    <t>PATRIMONIO</t>
  </si>
  <si>
    <t xml:space="preserve">     Capital</t>
  </si>
  <si>
    <t xml:space="preserve">     Reservas</t>
  </si>
  <si>
    <t xml:space="preserve">     Superávit de Capital</t>
  </si>
  <si>
    <t>Incluir utilidad del P&amp;G</t>
  </si>
  <si>
    <t>Sumar utilidad del periodo + utilidad periodo anterior</t>
  </si>
  <si>
    <t>Restar gasto diferido</t>
  </si>
  <si>
    <t>Acumular depreciación y restar</t>
  </si>
  <si>
    <t>Interconectar Estados Financieros</t>
  </si>
  <si>
    <t>1. Ingresos por inflación</t>
  </si>
  <si>
    <t>2. Costos por % histórico</t>
  </si>
  <si>
    <t>4. Cartera por rotación histórica</t>
  </si>
  <si>
    <t>5. Inventarios por rotación histórica</t>
  </si>
  <si>
    <t>6. Obligaciones Financieras pagar 1000 millones anuales</t>
  </si>
  <si>
    <t>7. Proveedores por rotación histórica</t>
  </si>
  <si>
    <t>CAPM</t>
  </si>
  <si>
    <t>Deuda</t>
  </si>
  <si>
    <t>%</t>
  </si>
  <si>
    <t>Cálculo CAPM</t>
  </si>
  <si>
    <t>Vlr $ miles</t>
  </si>
  <si>
    <t>Tasa Interés</t>
  </si>
  <si>
    <t xml:space="preserve">Beta </t>
  </si>
  <si>
    <t>T.Bills</t>
  </si>
  <si>
    <t>T.Bonds</t>
  </si>
  <si>
    <t>Risk Premium</t>
  </si>
  <si>
    <t>Standard Error</t>
    <phoneticPr fontId="12" type="noConversion"/>
  </si>
  <si>
    <t>1928-2010</t>
  </si>
  <si>
    <t>1961-2010</t>
  </si>
  <si>
    <t>2001-2010</t>
  </si>
  <si>
    <t>Vt</t>
  </si>
  <si>
    <t>VT</t>
  </si>
  <si>
    <t>patrimonio</t>
  </si>
  <si>
    <t>Capital</t>
  </si>
  <si>
    <t>Matriz Saldo</t>
  </si>
  <si>
    <t>Total</t>
  </si>
  <si>
    <t>q</t>
  </si>
  <si>
    <t>Receita operacional</t>
  </si>
  <si>
    <t>Custo das vendas</t>
  </si>
  <si>
    <t>Lucro bruto</t>
  </si>
  <si>
    <t xml:space="preserve">Margem Bruta </t>
  </si>
  <si>
    <t>Este primeiro exercício é sobre a ligação entre as três demonstrações financeiras.
Os valores dos diferentes itens permanecerão constantes a partir de 2021.</t>
  </si>
  <si>
    <t>Margem EBITDA</t>
  </si>
  <si>
    <t>Depreciação</t>
  </si>
  <si>
    <t>Amortização</t>
  </si>
  <si>
    <t>Renda não-operacional</t>
  </si>
  <si>
    <t>Despesas não-operacionais</t>
  </si>
  <si>
    <t>Lucro antes dos impostos</t>
  </si>
  <si>
    <t>Números em milhões</t>
  </si>
  <si>
    <t>Lucro e prejuízos</t>
  </si>
  <si>
    <t>EBIT (lucro antes dos juros e tributos)</t>
  </si>
  <si>
    <t>Margem EBIT (lucro antes dos juros e tributos)</t>
  </si>
  <si>
    <t>Provisão para Impostos</t>
  </si>
  <si>
    <t>Resultados do exercício</t>
  </si>
  <si>
    <t xml:space="preserve">     Ativo Circulante Total</t>
  </si>
  <si>
    <t xml:space="preserve">     Disponível</t>
  </si>
  <si>
    <t xml:space="preserve">     Inventário</t>
  </si>
  <si>
    <t xml:space="preserve">     Investimentos </t>
  </si>
  <si>
    <t xml:space="preserve">     Devedores</t>
  </si>
  <si>
    <t xml:space="preserve">     Diferido</t>
  </si>
  <si>
    <t xml:space="preserve">     Propriedade, instalações e equipamentos - Líquido</t>
  </si>
  <si>
    <t xml:space="preserve">     Depreciação acumulada</t>
  </si>
  <si>
    <t xml:space="preserve">     Outros ativos</t>
  </si>
  <si>
    <t xml:space="preserve">     Total do ativo não circulante</t>
  </si>
  <si>
    <t xml:space="preserve">   VALORIZAÇÕES</t>
  </si>
  <si>
    <t xml:space="preserve">     Total do Ativo</t>
  </si>
  <si>
    <t xml:space="preserve">PASSIVO </t>
  </si>
  <si>
    <t xml:space="preserve">     Obrigações financeiras</t>
  </si>
  <si>
    <t xml:space="preserve">     Fornecedores</t>
  </si>
  <si>
    <t xml:space="preserve">     Custos e despesas a pagar</t>
  </si>
  <si>
    <t xml:space="preserve">     Impostos, taxas e encargos</t>
  </si>
  <si>
    <t xml:space="preserve">     Obrigações e provisões trabalhistas</t>
  </si>
  <si>
    <t xml:space="preserve">     Outros Passivos</t>
  </si>
  <si>
    <t>Total do Passivo Circulante</t>
  </si>
  <si>
    <t>Obrigações financeiras MP (medio prazo)</t>
  </si>
  <si>
    <t xml:space="preserve">     Obrigações financeiras LP (longo prazo)</t>
  </si>
  <si>
    <t xml:space="preserve">     Custos e contas a pagar</t>
  </si>
  <si>
    <t xml:space="preserve">     Total do passivo não circulante</t>
  </si>
  <si>
    <t xml:space="preserve">     Total do Passivo</t>
  </si>
  <si>
    <t xml:space="preserve">     Vendas</t>
  </si>
  <si>
    <t>Taxa Anual</t>
  </si>
  <si>
    <t>Matriz Amortização</t>
  </si>
  <si>
    <t>Matriz Juros</t>
  </si>
  <si>
    <t>Período Gratuito</t>
  </si>
  <si>
    <t>Prazo Total da Dívida</t>
  </si>
  <si>
    <t>EFETIVO FINAL DO ANO</t>
  </si>
  <si>
    <t>EFETIVO ANO ANTERIOR</t>
  </si>
  <si>
    <t>FLUXO DE CAIXA LÍQUIDO</t>
  </si>
  <si>
    <t>DISTRIBUIÇÃO DE DIVIDENDOS</t>
  </si>
  <si>
    <t>APORTE  DE CAPITAL</t>
  </si>
  <si>
    <t>FLUXO DE CAIXA NA ATIVIDADE DE FINANCIAMENTO</t>
  </si>
  <si>
    <t xml:space="preserve">Obrigações Financeiras MP </t>
  </si>
  <si>
    <t>Obrigações Financeiras LP</t>
  </si>
  <si>
    <t>Obrigações Financeiras CP</t>
  </si>
  <si>
    <t xml:space="preserve">     Reavaliação de Patrimonio</t>
  </si>
  <si>
    <t xml:space="preserve">     Resultados do exercício financeiro anual</t>
  </si>
  <si>
    <t xml:space="preserve">     Resultados de exercício Anteriores</t>
  </si>
  <si>
    <t xml:space="preserve">     Superávit das avaliações</t>
  </si>
  <si>
    <t xml:space="preserve">     Total do Patrimônio</t>
  </si>
  <si>
    <t xml:space="preserve">     Total do Pasivo e Patrimônio</t>
  </si>
  <si>
    <t>Passivo Curto Prazo</t>
  </si>
  <si>
    <t>Passivo Longo Prazo</t>
  </si>
  <si>
    <t>FLUXO DE CAIXA LÍQUIDO DAS ATIVIDADES OPERACIONAIS</t>
  </si>
  <si>
    <t>ATIVIDADES DE INVESTIMENTO</t>
  </si>
  <si>
    <t xml:space="preserve">Investimentos LP - Variados </t>
  </si>
  <si>
    <t xml:space="preserve">Instalações e equipamentos - Variados </t>
  </si>
  <si>
    <t>Outros Ativos - Variados</t>
  </si>
  <si>
    <t>FLUXO DE CAIXA LÍQUIDO NA ATIVIDADE DE INVESTIMENTO</t>
  </si>
  <si>
    <t>ATIVIDADES DE FINANCIAMENTO</t>
  </si>
  <si>
    <t>Novos Empréstimos</t>
  </si>
  <si>
    <t>Pagamento de Obrigações Financeiras</t>
  </si>
  <si>
    <t>Var Obligaciones laborales - Variados</t>
  </si>
  <si>
    <t>Lucro para o período (declaração de renda)</t>
  </si>
  <si>
    <t>Itens não monetários:</t>
  </si>
  <si>
    <t>Amortização Diferidos</t>
  </si>
  <si>
    <t>CAPITAL GERADO NA OPERAÇÃO</t>
  </si>
  <si>
    <t>ATIVIDADES OPERACIONAIS</t>
  </si>
  <si>
    <t>Mudanças nos itens operacionais</t>
  </si>
  <si>
    <t>Investimentos Variados CP</t>
  </si>
  <si>
    <t>Devedores Variados</t>
  </si>
  <si>
    <t>Inventários Variados</t>
  </si>
  <si>
    <t>Custos e despesas a pagar - Variados</t>
  </si>
  <si>
    <t>Fornecedores - Variados</t>
  </si>
  <si>
    <t>Outros Passivos - Variados</t>
  </si>
  <si>
    <t>Obrigações trabalhistas - Variados</t>
  </si>
  <si>
    <t>Impostos, taxas e encargos - Variados</t>
  </si>
  <si>
    <t>Obrigações trabalhistas - Variadas</t>
  </si>
  <si>
    <t>Projetar</t>
  </si>
  <si>
    <t>Demonstrações Financeiras de Interconexão</t>
  </si>
  <si>
    <t>Imposto sobre patrimônio</t>
  </si>
  <si>
    <t>Inflação Anual</t>
  </si>
  <si>
    <t>Inflação Média Mensal</t>
  </si>
  <si>
    <t>Crescimento acumulado do PIB</t>
  </si>
  <si>
    <t>Crescimento mensal do PIB</t>
  </si>
  <si>
    <t>Inflação internacional</t>
  </si>
  <si>
    <t>Taxa livre de riscos</t>
  </si>
  <si>
    <t>Desvalorização Annual</t>
  </si>
  <si>
    <t>Desvalorização Média Annual</t>
  </si>
  <si>
    <t>TRM médio</t>
  </si>
  <si>
    <t>DTF Anual Efetivo</t>
  </si>
  <si>
    <t>Taxa de imposto</t>
  </si>
  <si>
    <t>Rendimento presumido sobre o Patrimônio Líquido</t>
  </si>
  <si>
    <t>Risco Colômbia</t>
  </si>
  <si>
    <t>Adiantamento de impostos</t>
  </si>
  <si>
    <t>Imposto sobre a Indústria e o Comércio - % da receita</t>
  </si>
  <si>
    <t>Premissas macroeconômicas</t>
  </si>
  <si>
    <t>Imposto sobre transações financeiras</t>
  </si>
  <si>
    <t>Spread bancário</t>
  </si>
  <si>
    <t>Valor nominal</t>
  </si>
  <si>
    <t>Retorno anual sobre investimentos em</t>
  </si>
  <si>
    <t>Valor composto de $100</t>
  </si>
  <si>
    <t>Ano</t>
  </si>
  <si>
    <t>Ações</t>
  </si>
  <si>
    <t>Ações - Contas</t>
  </si>
  <si>
    <t>Ações - Títulos</t>
  </si>
  <si>
    <t>Média aritmética</t>
  </si>
  <si>
    <t>Prêmio de Risco</t>
  </si>
  <si>
    <t>Ações - T.Bills</t>
  </si>
  <si>
    <t>Ações - T.Bonds</t>
  </si>
  <si>
    <t>Média Geométrica</t>
  </si>
  <si>
    <t>Número de empresas</t>
  </si>
  <si>
    <t>Grupo da Indústria</t>
  </si>
  <si>
    <t>Publicidade</t>
  </si>
  <si>
    <t>Utilidade (Água)</t>
  </si>
  <si>
    <t>Utilidade (Geral)</t>
  </si>
  <si>
    <t>Declaração de renda</t>
  </si>
  <si>
    <t xml:space="preserve"> Receita Operacional</t>
  </si>
  <si>
    <t>Custos operacionais</t>
  </si>
  <si>
    <t>Utilidade bruta</t>
  </si>
  <si>
    <t>MARGEM BRUTA</t>
  </si>
  <si>
    <t>Despesas operacionais</t>
  </si>
  <si>
    <t>Gastos administrativos</t>
  </si>
  <si>
    <t>Despesas de vendas</t>
  </si>
  <si>
    <t>Utilitário operacional</t>
  </si>
  <si>
    <t>MARGEM OPERACIONAL</t>
  </si>
  <si>
    <t>Gastos financeiros</t>
  </si>
  <si>
    <t>O resultado não operacional</t>
  </si>
  <si>
    <t>Despesas não operacionais</t>
  </si>
  <si>
    <t>Outras Despesas / Investimentos</t>
  </si>
  <si>
    <t>Lucro Líquido Antes dos Impostos</t>
  </si>
  <si>
    <t>Imposto de Renda e Complementar</t>
  </si>
  <si>
    <t>Ganhos e perdas</t>
  </si>
  <si>
    <t>MARGEM LÍQUIDA</t>
  </si>
  <si>
    <t>depreciação</t>
  </si>
  <si>
    <t>Disposições</t>
  </si>
  <si>
    <t>MARGEM EBITDA</t>
  </si>
  <si>
    <t>Premissas de P&amp;L</t>
  </si>
  <si>
    <t>Renda: crescimento devido à inflação</t>
  </si>
  <si>
    <t>Custo de vendas por % histórica</t>
  </si>
  <si>
    <t>Valor $ custo das vendas</t>
  </si>
  <si>
    <t>Despesas administrativas: crescimento devido à inflação</t>
  </si>
  <si>
    <t>Despesas Vendas por % histórica</t>
  </si>
  <si>
    <t>Valor $ Despesas de vendas</t>
  </si>
  <si>
    <t>despesa financeira</t>
  </si>
  <si>
    <t>Taxa bancária: DTF + spread bancário</t>
  </si>
  <si>
    <t>Lucro não operacional: (saldo de investimento por DTF)</t>
  </si>
  <si>
    <t>Despesas não operacionais aumentam devido à inflação</t>
  </si>
  <si>
    <t>Percentagem</t>
  </si>
  <si>
    <t>Outras Despesas/Investimentos 8% das vendas</t>
  </si>
  <si>
    <t>Depreciação - 10% do saldo</t>
  </si>
  <si>
    <t>Porcentagem de Depreciação</t>
  </si>
  <si>
    <t>Equilíbrio</t>
  </si>
  <si>
    <t>Amortizações - 20% do saldo</t>
  </si>
  <si>
    <t>Provisão de renda de acordo com as premissas macro</t>
  </si>
  <si>
    <t>Verifica</t>
  </si>
  <si>
    <t>Balanço geral</t>
  </si>
  <si>
    <t>Disponível</t>
  </si>
  <si>
    <t>Serviços de Devedores</t>
  </si>
  <si>
    <t>Os inventários</t>
  </si>
  <si>
    <t>Imobilizado líquido</t>
  </si>
  <si>
    <t>Ativos Fixos Brutos</t>
  </si>
  <si>
    <t>Depreciação acumulada</t>
  </si>
  <si>
    <t>Intangivel</t>
  </si>
  <si>
    <t>Investimentos</t>
  </si>
  <si>
    <t>Outros devedores</t>
  </si>
  <si>
    <t>Outros ativos</t>
  </si>
  <si>
    <t>adiado</t>
  </si>
  <si>
    <t>TOTAL ATIVO</t>
  </si>
  <si>
    <t>acredite kt</t>
  </si>
  <si>
    <t>Compromissos financeiros</t>
  </si>
  <si>
    <t>Aquisição de bens e serviços</t>
  </si>
  <si>
    <t>credores</t>
  </si>
  <si>
    <t>Obrigações trabalhistas</t>
  </si>
  <si>
    <t>Obrigações fiscais</t>
  </si>
  <si>
    <t>Outros passivos</t>
  </si>
  <si>
    <t>RESPOSABILIDADES TOTAIS</t>
  </si>
  <si>
    <t xml:space="preserve"> Capital social</t>
  </si>
  <si>
    <t xml:space="preserve"> Excedente de Capital</t>
  </si>
  <si>
    <t xml:space="preserve"> Reservas</t>
  </si>
  <si>
    <t>Reavaliação do Patrimônio</t>
  </si>
  <si>
    <t xml:space="preserve"> Dividir ou Partir. Decretado em Ações ou Cotas</t>
  </si>
  <si>
    <t xml:space="preserve"> Resultados do exercício</t>
  </si>
  <si>
    <t xml:space="preserve"> Resultados de exercícios anteriores</t>
  </si>
  <si>
    <t xml:space="preserve"> Excedente de reavaliação</t>
  </si>
  <si>
    <t>TOTAL DE ATIVOS</t>
  </si>
  <si>
    <t>TOTAL DE RESPONSABILIDADE E PATRIMÔNIO</t>
  </si>
  <si>
    <t>Saldo de premissas</t>
  </si>
  <si>
    <t>Dias de rotatividade de devedores históricos (carteira / vendas *360)</t>
  </si>
  <si>
    <t>Saldo de Devedores</t>
  </si>
  <si>
    <t>Dias de Rotação de Estoque Histórico (Estoques / Valor de Vendas *360)</t>
  </si>
  <si>
    <t>Saldo do Estoque</t>
  </si>
  <si>
    <t>Ativos fixos de investimento, primeiros 2 anos 2.000 mm e terceiro ano 1.000</t>
  </si>
  <si>
    <t>Saldo Ativos Fixos</t>
  </si>
  <si>
    <t>Investimentos: Resgates de 1.000 mm por ano</t>
  </si>
  <si>
    <t>Saldo de Investimentos</t>
  </si>
  <si>
    <t>Dias históricos de faturamento de fornecedores (fornecedores / volume de vendas *360)</t>
  </si>
  <si>
    <t>Fornecedores de saldo</t>
  </si>
  <si>
    <t>Pagamento anual da dívida, 2.000 milhões</t>
  </si>
  <si>
    <t>saldo da dívida</t>
  </si>
  <si>
    <t>Nova dívida</t>
  </si>
  <si>
    <t>Fluxo de caixa</t>
  </si>
  <si>
    <t>(+) Lucro Líquido</t>
  </si>
  <si>
    <t>(+) Depreciação</t>
  </si>
  <si>
    <t>(+) Amortizações</t>
  </si>
  <si>
    <t>(=) Geração Interna (A)</t>
  </si>
  <si>
    <t>(+/-) Alteração na Carteira</t>
  </si>
  <si>
    <t>(+/-) Variação de Estoques</t>
  </si>
  <si>
    <t>(+/-) Variação em Outros devedores</t>
  </si>
  <si>
    <t>(+/-) Mudança em Outros Ativos</t>
  </si>
  <si>
    <t>(+/-) Alteração na Aquisição de Bens e Serviços</t>
  </si>
  <si>
    <t>(+/-) Mudança de Credores</t>
  </si>
  <si>
    <t>(+/-) Alteração nas Obrigações Trabalhistas</t>
  </si>
  <si>
    <t>(+/-) Alterar obrigações fiscais</t>
  </si>
  <si>
    <t>(+/-) Alterar outros passivos</t>
  </si>
  <si>
    <t>Operação Subtotal (B)</t>
  </si>
  <si>
    <t>(+/-) Alterar Ativos Fixos</t>
  </si>
  <si>
    <t>(+/-) Alterar Investimentos</t>
  </si>
  <si>
    <t>Investimento Subtotal (C)</t>
  </si>
  <si>
    <t>(+) Novos Empréstimos</t>
  </si>
  <si>
    <t>(-) Pagamento Obrigações Financeiras</t>
  </si>
  <si>
    <t>Financiamento Subtotal (D)</t>
  </si>
  <si>
    <t xml:space="preserve"> Mudança efetiva (A+B+C+D)</t>
  </si>
  <si>
    <t>Período de início de caixa</t>
  </si>
  <si>
    <t>caixa final</t>
  </si>
  <si>
    <t>necessidade de dinheiro</t>
  </si>
  <si>
    <t>Caixa mínima</t>
  </si>
  <si>
    <t>Avaliação do fluxo de caixa</t>
  </si>
  <si>
    <t>(+) Vendas</t>
  </si>
  <si>
    <t>(-) Custo de vendas</t>
  </si>
  <si>
    <t>(=) Lucro Bruto</t>
  </si>
  <si>
    <t>(-) Gatos Operacionais</t>
  </si>
  <si>
    <t>(=) Lucro Operacional (EBIT)</t>
  </si>
  <si>
    <t>(+) Amortização</t>
  </si>
  <si>
    <t xml:space="preserve"> (-) Impostos Ajustados</t>
  </si>
  <si>
    <t>(+/-) Mudança nas atividades operacionais</t>
  </si>
  <si>
    <t>(+/-) Alterar atividades de investimento</t>
  </si>
  <si>
    <t>(=) Fluxo de Caixa Livre</t>
  </si>
  <si>
    <t>Pesos de taxa livre de risco</t>
  </si>
  <si>
    <t>indústria beta</t>
  </si>
  <si>
    <t>taxa de mercado</t>
  </si>
  <si>
    <t>País de risco</t>
  </si>
  <si>
    <t>Risco de liquidez</t>
  </si>
  <si>
    <t>Taxa de pesos</t>
  </si>
  <si>
    <t>Cálculo WACC</t>
  </si>
  <si>
    <t>Herança</t>
  </si>
  <si>
    <t>Dívida</t>
  </si>
  <si>
    <t>Patrimônio líquido + dívida</t>
  </si>
  <si>
    <t>taxa bancária</t>
  </si>
  <si>
    <t>Taxa do Acionista</t>
  </si>
  <si>
    <t>Avaliação da Empresa</t>
  </si>
  <si>
    <t>Valor Presente FCF</t>
  </si>
  <si>
    <t>Valor residual</t>
  </si>
  <si>
    <t>valor presente valor residual</t>
  </si>
  <si>
    <t>Valor da empresa</t>
  </si>
  <si>
    <t>EBITDA múltiplo antes da dívida</t>
  </si>
  <si>
    <t>Valor da Dívida 2010</t>
  </si>
  <si>
    <t>Valor Patrimonial</t>
  </si>
  <si>
    <t>EBITDA Múltiplo</t>
  </si>
  <si>
    <t>Receita Operacional</t>
  </si>
  <si>
    <t>Projeto usando as informações encontradas na seção de premissas</t>
  </si>
  <si>
    <t xml:space="preserve"> 1. Receita da inflação</t>
  </si>
  <si>
    <t>2. Custos por % histórica</t>
  </si>
  <si>
    <t>4. Portfólio por giro histórico</t>
  </si>
  <si>
    <t>5. Estoques por rotação histórica</t>
  </si>
  <si>
    <t>6. Obrigações financeiras de pagar 1 bilhão anualmente</t>
  </si>
  <si>
    <t>7. Fornecedores por faturamento histórico</t>
  </si>
  <si>
    <t>Despesas Financeiras Capital de Giro</t>
  </si>
  <si>
    <t/>
  </si>
  <si>
    <t>Novos Empréstimos de Capital de Giro</t>
  </si>
  <si>
    <t>Interesses</t>
  </si>
  <si>
    <t>Capital de Giro da Dívida</t>
  </si>
  <si>
    <t>(+/-) Alterar obrigações financeiras</t>
  </si>
  <si>
    <t>Pagamento de Obrigações de Capital de Giro</t>
  </si>
  <si>
    <t>(+/-) Mudança de Juros Capital de Giro</t>
  </si>
  <si>
    <t>Premissas de fluxo de caixa</t>
  </si>
  <si>
    <t>Caixa Mínima</t>
  </si>
  <si>
    <t>Exigência de dinheiro</t>
  </si>
  <si>
    <t>Prazo da Dívida</t>
  </si>
  <si>
    <t>Aeroespacial e Defesa</t>
  </si>
  <si>
    <t>Transporte aéreo</t>
  </si>
  <si>
    <t>Vestuário</t>
  </si>
  <si>
    <t>Carro e caminhão</t>
  </si>
  <si>
    <t>peças do carro</t>
  </si>
  <si>
    <t>banco</t>
  </si>
  <si>
    <t>Bancos (regionais)</t>
  </si>
  <si>
    <t xml:space="preserve"> Bebida</t>
  </si>
  <si>
    <t>Bebida (Alcoólica)</t>
  </si>
  <si>
    <t>biotecnologia</t>
  </si>
  <si>
    <t>transmissão</t>
  </si>
  <si>
    <t>Corretagem e banco de investimento</t>
  </si>
  <si>
    <t>Materiais de construção</t>
  </si>
  <si>
    <t>Serviços empresariais e ao consumidor</t>
  </si>
  <si>
    <t>TV a cabo</t>
  </si>
  <si>
    <t>Químico (Básico)</t>
  </si>
  <si>
    <t>Química (Diversificada)</t>
  </si>
  <si>
    <t>Química (Especialidade)</t>
  </si>
  <si>
    <t>Carvão e energia relacionada</t>
  </si>
  <si>
    <t>Serviços informáticos</t>
  </si>
  <si>
    <t>Software de computador</t>
  </si>
  <si>
    <t>Computadores/Periféricos</t>
  </si>
  <si>
    <t>Construção</t>
  </si>
  <si>
    <t>diversificado</t>
  </si>
  <si>
    <t>Serviços educacionais</t>
  </si>
  <si>
    <t>Equipamento elétrico</t>
  </si>
  <si>
    <t>Eletrônicos</t>
  </si>
  <si>
    <t>Eletrônicos (Consumidor e Escritório)</t>
  </si>
  <si>
    <t>Engenharia</t>
  </si>
  <si>
    <t>Entretenimento</t>
  </si>
  <si>
    <t>Serviços ambientais e de resíduos</t>
  </si>
  <si>
    <t>Agricultura/Agricultura</t>
  </si>
  <si>
    <t>Serviços Financeiros.</t>
  </si>
  <si>
    <t>Serviços Financeiros. (Não bancário e seguro)</t>
  </si>
  <si>
    <t>processamento de comida</t>
  </si>
  <si>
    <t>Atacadistas de Alimentos</t>
  </si>
  <si>
    <t>Mobília/mobiliário doméstico</t>
  </si>
  <si>
    <t>Serviços de saúde</t>
  </si>
  <si>
    <t>Informação e Tecnologia em Saúde</t>
  </si>
  <si>
    <t>Produtos e serviços de saúde</t>
  </si>
  <si>
    <t>construção pesada</t>
  </si>
  <si>
    <t>Construção de casas</t>
  </si>
  <si>
    <t>Hotel/Jogos</t>
  </si>
  <si>
    <t>Produtos para o lar</t>
  </si>
  <si>
    <t>Serviços de informação</t>
  </si>
  <si>
    <t>Seguro (Geral)</t>
  </si>
  <si>
    <t>Seguro (Vida)</t>
  </si>
  <si>
    <t>Seguro (Propriedade/Cas.)</t>
  </si>
  <si>
    <t>Software e serviços de Internet</t>
  </si>
  <si>
    <t>Companhia de Investimentos</t>
  </si>
  <si>
    <t>maquinaria</t>
  </si>
  <si>
    <t>Metais e Mineração</t>
  </si>
  <si>
    <t>Equipamentos e serviços de escritório</t>
  </si>
  <si>
    <t>Petróleo/Gás (Integrado)</t>
  </si>
  <si>
    <t>Petróleo/Gás (Produção e Exploração)</t>
  </si>
  <si>
    <t>Distribuição de Petróleo/Gás</t>
  </si>
  <si>
    <t>Svcs/Equip. de Campos Petrolíferos</t>
  </si>
  <si>
    <t>Embalagens e Recipientes</t>
  </si>
  <si>
    <t>Papel/Produtos Florestais</t>
  </si>
  <si>
    <t>Farmacêutica e Medicamentos</t>
  </si>
  <si>
    <t>Poder</t>
  </si>
  <si>
    <t>metais preciosos</t>
  </si>
  <si>
    <t>Publicação e jornais</t>
  </si>
  <si>
    <t>REITs</t>
  </si>
  <si>
    <t>Ferrovia</t>
  </si>
  <si>
    <t>Estado</t>
  </si>
  <si>
    <t>Imóveis (Desenvolvimento)</t>
  </si>
  <si>
    <t>Imóveis (Operações e Serviços)</t>
  </si>
  <si>
    <t>lazer</t>
  </si>
  <si>
    <t>resseguro</t>
  </si>
  <si>
    <t>Restaurante</t>
  </si>
  <si>
    <t>Varejo (Automotivo)</t>
  </si>
  <si>
    <t>Varejo (Material de Construção)</t>
  </si>
  <si>
    <t>Varejo (Distribuidores)</t>
  </si>
  <si>
    <t>Varejo (Geral)</t>
  </si>
  <si>
    <t>Varejo (mercearia e alimentos)</t>
  </si>
  <si>
    <t>Varejo (Internet)</t>
  </si>
  <si>
    <t>Varejo (Linhas Especiais)</t>
  </si>
  <si>
    <t>Pneus de borracha</t>
  </si>
  <si>
    <t>Semicondutor</t>
  </si>
  <si>
    <t>Equipamento semicondutor</t>
  </si>
  <si>
    <t>Construção naval e marinha</t>
  </si>
  <si>
    <t>Sapato</t>
  </si>
  <si>
    <t>Aço</t>
  </si>
  <si>
    <t>Telecomunicações (sem fio)</t>
  </si>
  <si>
    <t>Telecom. Equipamento</t>
  </si>
  <si>
    <t>Telecom. Serviços</t>
  </si>
  <si>
    <t>parcimônia</t>
  </si>
  <si>
    <t>Tabaco</t>
  </si>
  <si>
    <t>Transporte</t>
  </si>
  <si>
    <t>transporte por caminhão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</si>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</sst>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(&quot;CO$&quot;* #,##0.00_);_(&quot;CO$&quot;* \(#,##0.00\);_(&quot;CO$&quot;* &quot;-&quot;??_);_(@_)"/>
    <numFmt numFmtId="166" formatCode="_(* #,##0.00_);_(* \(#,##0.00\);_(* &quot;-&quot;??_);_(@_)"/>
    <numFmt numFmtId="167" formatCode="0.0%"/>
    <numFmt numFmtId="168" formatCode="#,##0.0"/>
    <numFmt numFmtId="169" formatCode="#,##0,"/>
    <numFmt numFmtId="170" formatCode="_ * #,##0,;_ * \-#,##0,\ ;_ * &quot;-&quot;??_ ;_ @_ "/>
    <numFmt numFmtId="171" formatCode="_ * #,##0;_ * \-#,##0\ ;_ * &quot;-&quot;??_ ;_ @_ "/>
    <numFmt numFmtId="172" formatCode="0.000%"/>
    <numFmt numFmtId="173" formatCode="0.0"/>
    <numFmt numFmtId="174" formatCode="_-* #,##0,_-;\-* #,##0,_-;_-* &quot;-&quot;_-;_-@_-"/>
    <numFmt numFmtId="175" formatCode="_-* #,##0.00_-;\-* #,##0.00_-;_-* &quot;-&quot;_-;_-@_-"/>
    <numFmt numFmtId="176" formatCode="_(&quot;$&quot;* #,##0.00_);_(&quot;$&quot;* \(#,##0.00\);_(&quot;$&quot;* &quot;-&quot;??_);_(@_)"/>
    <numFmt numFmtId="181" formatCode="_-* #,##0_-;\-* #,##0_-;_-* &quot;-&quot;_-;_-@_-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theme="0"/>
      <name val="Arial"/>
      <family val="2"/>
    </font>
    <font>
      <sz val="8"/>
      <color indexed="10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2"/>
      <color rgb="FFFF0000"/>
      <name val="Tahoma"/>
      <family val="2"/>
    </font>
    <font>
      <i/>
      <sz val="8"/>
      <name val="Tahoma"/>
      <family val="2"/>
    </font>
    <font>
      <b/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8"/>
      <name val="Arial"/>
      <family val="2"/>
    </font>
    <font>
      <sz val="12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sz val="11"/>
      <color rgb="FFFF6600"/>
      <name val="Calibri"/>
      <family val="2"/>
      <scheme val="minor"/>
    </font>
    <font>
      <sz val="9"/>
      <color indexed="81"/>
      <name val="Calibri"/>
      <family val="2"/>
    </font>
    <font>
      <i/>
      <sz val="10"/>
      <name val="Verdana"/>
      <family val="2"/>
    </font>
    <font>
      <sz val="12"/>
      <name val="Times"/>
    </font>
    <font>
      <b/>
      <sz val="12"/>
      <name val="Times"/>
    </font>
    <font>
      <i/>
      <sz val="12"/>
      <name val="Times"/>
    </font>
    <font>
      <b/>
      <i/>
      <sz val="12"/>
      <name val="Times"/>
    </font>
    <font>
      <sz val="8"/>
      <color rgb="FFDD0806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902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287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0" fontId="0" fillId="3" borderId="0" xfId="0" applyFill="1"/>
    <xf numFmtId="0" fontId="0" fillId="0" borderId="3" xfId="0" applyBorder="1"/>
    <xf numFmtId="9" fontId="0" fillId="0" borderId="4" xfId="1" applyFont="1" applyBorder="1"/>
    <xf numFmtId="0" fontId="0" fillId="0" borderId="4" xfId="0" applyBorder="1"/>
    <xf numFmtId="0" fontId="8" fillId="0" borderId="0" xfId="0" applyFont="1" applyAlignment="1">
      <alignment vertical="top"/>
    </xf>
    <xf numFmtId="0" fontId="10" fillId="0" borderId="0" xfId="65" applyFont="1"/>
    <xf numFmtId="0" fontId="10" fillId="0" borderId="0" xfId="65" applyFont="1" applyAlignment="1">
      <alignment horizontal="right"/>
    </xf>
    <xf numFmtId="0" fontId="11" fillId="0" borderId="0" xfId="0" applyFont="1"/>
    <xf numFmtId="9" fontId="0" fillId="0" borderId="0" xfId="1" applyFont="1"/>
    <xf numFmtId="0" fontId="12" fillId="4" borderId="0" xfId="0" applyFont="1" applyFill="1"/>
    <xf numFmtId="0" fontId="0" fillId="0" borderId="0" xfId="0" applyBorder="1"/>
    <xf numFmtId="3" fontId="0" fillId="0" borderId="0" xfId="0" quotePrefix="1" applyNumberForma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0" fontId="14" fillId="0" borderId="0" xfId="0" applyFont="1"/>
    <xf numFmtId="167" fontId="14" fillId="0" borderId="0" xfId="1" applyNumberFormat="1" applyFont="1" applyAlignment="1">
      <alignment horizontal="right"/>
    </xf>
    <xf numFmtId="3" fontId="0" fillId="0" borderId="0" xfId="0" applyNumberFormat="1"/>
    <xf numFmtId="0" fontId="15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9" fillId="0" borderId="0" xfId="0" applyNumberFormat="1" applyFont="1"/>
    <xf numFmtId="3" fontId="12" fillId="4" borderId="0" xfId="0" applyNumberFormat="1" applyFont="1" applyFill="1"/>
    <xf numFmtId="3" fontId="13" fillId="0" borderId="0" xfId="0" applyNumberFormat="1" applyFont="1" applyFill="1" applyBorder="1"/>
    <xf numFmtId="3" fontId="12" fillId="0" borderId="9" xfId="0" applyNumberFormat="1" applyFont="1" applyBorder="1"/>
    <xf numFmtId="3" fontId="0" fillId="0" borderId="0" xfId="0" quotePrefix="1" applyNumberFormat="1" applyFill="1" applyBorder="1"/>
    <xf numFmtId="3" fontId="12" fillId="0" borderId="8" xfId="0" applyNumberFormat="1" applyFont="1" applyFill="1" applyBorder="1"/>
    <xf numFmtId="167" fontId="14" fillId="0" borderId="0" xfId="1" applyNumberFormat="1" applyFont="1" applyFill="1" applyAlignment="1">
      <alignment horizontal="right"/>
    </xf>
    <xf numFmtId="0" fontId="10" fillId="0" borderId="0" xfId="0" applyFont="1" applyFill="1"/>
    <xf numFmtId="0" fontId="0" fillId="0" borderId="0" xfId="0" applyFont="1"/>
    <xf numFmtId="10" fontId="9" fillId="0" borderId="0" xfId="1" applyNumberFormat="1" applyFont="1" applyFill="1" applyBorder="1"/>
    <xf numFmtId="0" fontId="0" fillId="0" borderId="0" xfId="0" applyFont="1" applyFill="1"/>
    <xf numFmtId="168" fontId="9" fillId="0" borderId="0" xfId="64" applyNumberFormat="1" applyFont="1" applyFill="1" applyBorder="1"/>
    <xf numFmtId="0" fontId="17" fillId="2" borderId="0" xfId="65" applyFont="1" applyFill="1"/>
    <xf numFmtId="3" fontId="18" fillId="0" borderId="0" xfId="0" applyNumberFormat="1" applyFont="1"/>
    <xf numFmtId="9" fontId="0" fillId="0" borderId="0" xfId="0" applyNumberFormat="1"/>
    <xf numFmtId="169" fontId="19" fillId="0" borderId="0" xfId="0" applyNumberFormat="1" applyFont="1"/>
    <xf numFmtId="0" fontId="20" fillId="0" borderId="0" xfId="0" applyNumberFormat="1" applyFont="1"/>
    <xf numFmtId="169" fontId="21" fillId="0" borderId="0" xfId="0" applyNumberFormat="1" applyFont="1"/>
    <xf numFmtId="169" fontId="20" fillId="0" borderId="0" xfId="0" applyNumberFormat="1" applyFont="1"/>
    <xf numFmtId="170" fontId="22" fillId="0" borderId="10" xfId="64" applyNumberFormat="1" applyFont="1" applyBorder="1" applyProtection="1"/>
    <xf numFmtId="170" fontId="22" fillId="0" borderId="0" xfId="64" applyNumberFormat="1" applyFont="1" applyProtection="1"/>
    <xf numFmtId="170" fontId="20" fillId="0" borderId="0" xfId="64" applyNumberFormat="1" applyFont="1" applyProtection="1"/>
    <xf numFmtId="169" fontId="24" fillId="0" borderId="0" xfId="0" applyNumberFormat="1" applyFont="1" applyAlignment="1">
      <alignment horizontal="left" indent="4"/>
    </xf>
    <xf numFmtId="170" fontId="25" fillId="0" borderId="0" xfId="64" applyNumberFormat="1" applyFont="1" applyProtection="1"/>
    <xf numFmtId="170" fontId="22" fillId="0" borderId="0" xfId="1" applyNumberFormat="1" applyFont="1" applyProtection="1"/>
    <xf numFmtId="10" fontId="22" fillId="0" borderId="0" xfId="1" applyNumberFormat="1" applyFont="1" applyProtection="1"/>
    <xf numFmtId="170" fontId="22" fillId="0" borderId="0" xfId="64" applyNumberFormat="1" applyFont="1" applyFill="1" applyProtection="1"/>
    <xf numFmtId="169" fontId="22" fillId="0" borderId="0" xfId="0" applyNumberFormat="1" applyFont="1"/>
    <xf numFmtId="169" fontId="20" fillId="0" borderId="0" xfId="0" applyNumberFormat="1" applyFont="1" applyAlignment="1">
      <alignment horizontal="left" indent="2"/>
    </xf>
    <xf numFmtId="170" fontId="20" fillId="0" borderId="10" xfId="64" applyNumberFormat="1" applyFont="1" applyBorder="1" applyProtection="1"/>
    <xf numFmtId="9" fontId="22" fillId="0" borderId="0" xfId="1" applyFont="1" applyProtection="1"/>
    <xf numFmtId="169" fontId="24" fillId="0" borderId="0" xfId="0" applyNumberFormat="1" applyFont="1" applyAlignment="1">
      <alignment horizontal="left" indent="2"/>
    </xf>
    <xf numFmtId="167" fontId="26" fillId="0" borderId="0" xfId="1" applyNumberFormat="1" applyFont="1" applyProtection="1"/>
    <xf numFmtId="169" fontId="20" fillId="0" borderId="0" xfId="0" applyNumberFormat="1" applyFont="1" applyAlignment="1">
      <alignment horizontal="left" vertical="center" wrapText="1" indent="2"/>
    </xf>
    <xf numFmtId="167" fontId="21" fillId="0" borderId="0" xfId="1" applyNumberFormat="1" applyFont="1"/>
    <xf numFmtId="169" fontId="20" fillId="0" borderId="0" xfId="0" quotePrefix="1" applyNumberFormat="1" applyFont="1" applyAlignment="1">
      <alignment horizontal="left" indent="2"/>
    </xf>
    <xf numFmtId="9" fontId="27" fillId="0" borderId="0" xfId="1" applyFont="1" applyFill="1" applyBorder="1"/>
    <xf numFmtId="170" fontId="20" fillId="0" borderId="11" xfId="64" applyNumberFormat="1" applyFont="1" applyBorder="1" applyProtection="1"/>
    <xf numFmtId="0" fontId="28" fillId="0" borderId="0" xfId="0" applyFont="1"/>
    <xf numFmtId="169" fontId="22" fillId="0" borderId="0" xfId="0" applyNumberFormat="1" applyFont="1" applyFill="1"/>
    <xf numFmtId="10" fontId="21" fillId="0" borderId="0" xfId="1" applyNumberFormat="1" applyFont="1"/>
    <xf numFmtId="10" fontId="22" fillId="0" borderId="0" xfId="1" applyNumberFormat="1" applyFont="1" applyFill="1"/>
    <xf numFmtId="169" fontId="22" fillId="0" borderId="0" xfId="0" applyNumberFormat="1" applyFont="1" applyAlignment="1">
      <alignment horizontal="left"/>
    </xf>
    <xf numFmtId="170" fontId="20" fillId="0" borderId="10" xfId="64" applyNumberFormat="1" applyFont="1" applyFill="1" applyBorder="1" applyProtection="1"/>
    <xf numFmtId="170" fontId="20" fillId="0" borderId="11" xfId="64" applyNumberFormat="1" applyFont="1" applyFill="1" applyBorder="1" applyProtection="1"/>
    <xf numFmtId="169" fontId="20" fillId="0" borderId="0" xfId="0" quotePrefix="1" applyNumberFormat="1" applyFont="1" applyAlignment="1">
      <alignment horizontal="left" wrapText="1"/>
    </xf>
    <xf numFmtId="9" fontId="22" fillId="0" borderId="0" xfId="1" applyFont="1" applyFill="1" applyProtection="1"/>
    <xf numFmtId="169" fontId="20" fillId="0" borderId="0" xfId="0" applyNumberFormat="1" applyFont="1" applyFill="1"/>
    <xf numFmtId="170" fontId="20" fillId="0" borderId="0" xfId="64" applyNumberFormat="1" applyFont="1" applyBorder="1" applyProtection="1"/>
    <xf numFmtId="170" fontId="20" fillId="0" borderId="0" xfId="64" applyNumberFormat="1" applyFont="1" applyFill="1" applyBorder="1" applyProtection="1"/>
    <xf numFmtId="9" fontId="20" fillId="0" borderId="0" xfId="1" applyFont="1" applyBorder="1" applyProtection="1"/>
    <xf numFmtId="169" fontId="20" fillId="0" borderId="0" xfId="0" applyNumberFormat="1" applyFont="1" applyFill="1" applyAlignment="1">
      <alignment horizontal="left" indent="3"/>
    </xf>
    <xf numFmtId="167" fontId="22" fillId="0" borderId="0" xfId="1" applyNumberFormat="1" applyFont="1" applyProtection="1"/>
    <xf numFmtId="170" fontId="20" fillId="0" borderId="8" xfId="64" applyNumberFormat="1" applyFont="1" applyBorder="1" applyProtection="1"/>
    <xf numFmtId="170" fontId="20" fillId="0" borderId="8" xfId="64" applyNumberFormat="1" applyFont="1" applyFill="1" applyBorder="1" applyProtection="1"/>
    <xf numFmtId="170" fontId="22" fillId="0" borderId="10" xfId="64" applyNumberFormat="1" applyFont="1" applyFill="1" applyBorder="1" applyProtection="1"/>
    <xf numFmtId="1" fontId="22" fillId="0" borderId="0" xfId="64" applyNumberFormat="1" applyFont="1" applyProtection="1"/>
    <xf numFmtId="0" fontId="29" fillId="4" borderId="0" xfId="0" applyFont="1" applyFill="1"/>
    <xf numFmtId="169" fontId="20" fillId="0" borderId="0" xfId="0" applyNumberFormat="1" applyFont="1" applyAlignment="1">
      <alignment horizontal="center"/>
    </xf>
    <xf numFmtId="0" fontId="23" fillId="0" borderId="0" xfId="106" applyFont="1" applyProtection="1"/>
    <xf numFmtId="0" fontId="24" fillId="0" borderId="0" xfId="106" applyFont="1" applyProtection="1"/>
    <xf numFmtId="0" fontId="24" fillId="0" borderId="0" xfId="106" applyFont="1" applyAlignment="1" applyProtection="1">
      <alignment horizontal="left" indent="1"/>
    </xf>
    <xf numFmtId="0" fontId="24" fillId="0" borderId="0" xfId="106" applyFont="1" applyAlignment="1" applyProtection="1">
      <alignment horizontal="left" indent="2"/>
    </xf>
    <xf numFmtId="0" fontId="23" fillId="0" borderId="0" xfId="106" applyFont="1" applyFill="1" applyProtection="1"/>
    <xf numFmtId="0" fontId="22" fillId="0" borderId="0" xfId="0" applyFont="1"/>
    <xf numFmtId="0" fontId="24" fillId="0" borderId="0" xfId="0" applyFont="1"/>
    <xf numFmtId="0" fontId="23" fillId="0" borderId="0" xfId="0" applyFont="1"/>
    <xf numFmtId="170" fontId="22" fillId="0" borderId="11" xfId="64" applyNumberFormat="1" applyFont="1" applyFill="1" applyBorder="1" applyProtection="1"/>
    <xf numFmtId="170" fontId="22" fillId="5" borderId="10" xfId="64" applyNumberFormat="1" applyFont="1" applyFill="1" applyBorder="1" applyProtection="1"/>
    <xf numFmtId="170" fontId="20" fillId="5" borderId="0" xfId="64" applyNumberFormat="1" applyFont="1" applyFill="1" applyProtection="1"/>
    <xf numFmtId="170" fontId="22" fillId="5" borderId="0" xfId="64" applyNumberFormat="1" applyFont="1" applyFill="1" applyProtection="1"/>
    <xf numFmtId="169" fontId="21" fillId="5" borderId="0" xfId="0" applyNumberFormat="1" applyFont="1" applyFill="1"/>
    <xf numFmtId="9" fontId="27" fillId="0" borderId="0" xfId="0" applyNumberFormat="1" applyFont="1"/>
    <xf numFmtId="0" fontId="24" fillId="5" borderId="0" xfId="106" applyFont="1" applyFill="1" applyProtection="1"/>
    <xf numFmtId="37" fontId="24" fillId="5" borderId="0" xfId="106" applyNumberFormat="1" applyFont="1" applyFill="1" applyAlignment="1" applyProtection="1">
      <alignment horizontal="left" indent="1"/>
    </xf>
    <xf numFmtId="0" fontId="24" fillId="5" borderId="0" xfId="106" applyFont="1" applyFill="1" applyAlignment="1" applyProtection="1">
      <alignment horizontal="left" indent="1"/>
    </xf>
    <xf numFmtId="0" fontId="24" fillId="5" borderId="0" xfId="106" applyFont="1" applyFill="1" applyAlignment="1" applyProtection="1">
      <alignment horizontal="left" indent="2"/>
    </xf>
    <xf numFmtId="170" fontId="22" fillId="0" borderId="0" xfId="64" applyNumberFormat="1" applyFont="1" applyFill="1" applyBorder="1" applyProtection="1"/>
    <xf numFmtId="3" fontId="0" fillId="5" borderId="0" xfId="0" applyNumberFormat="1" applyFill="1"/>
    <xf numFmtId="3" fontId="9" fillId="5" borderId="0" xfId="0" applyNumberFormat="1" applyFont="1" applyFill="1"/>
    <xf numFmtId="3" fontId="0" fillId="5" borderId="0" xfId="0" quotePrefix="1" applyNumberFormat="1" applyFill="1" applyBorder="1"/>
    <xf numFmtId="3" fontId="0" fillId="5" borderId="7" xfId="0" quotePrefix="1" applyNumberFormat="1" applyFill="1" applyBorder="1"/>
    <xf numFmtId="3" fontId="18" fillId="5" borderId="0" xfId="0" applyNumberFormat="1" applyFont="1" applyFill="1"/>
    <xf numFmtId="170" fontId="20" fillId="0" borderId="0" xfId="64" applyNumberFormat="1" applyFont="1" applyFill="1" applyProtection="1"/>
    <xf numFmtId="170" fontId="20" fillId="5" borderId="0" xfId="64" applyNumberFormat="1" applyFont="1" applyFill="1" applyBorder="1" applyProtection="1"/>
    <xf numFmtId="3" fontId="2" fillId="0" borderId="0" xfId="0" applyNumberFormat="1" applyFont="1" applyFill="1"/>
    <xf numFmtId="3" fontId="31" fillId="0" borderId="0" xfId="0" applyNumberFormat="1" applyFont="1"/>
    <xf numFmtId="3" fontId="31" fillId="5" borderId="0" xfId="0" applyNumberFormat="1" applyFont="1" applyFill="1"/>
    <xf numFmtId="3" fontId="32" fillId="0" borderId="0" xfId="0" applyNumberFormat="1" applyFont="1"/>
    <xf numFmtId="3" fontId="32" fillId="5" borderId="0" xfId="0" applyNumberFormat="1" applyFont="1" applyFill="1"/>
    <xf numFmtId="3" fontId="0" fillId="0" borderId="11" xfId="0" applyNumberFormat="1" applyBorder="1"/>
    <xf numFmtId="171" fontId="2" fillId="0" borderId="0" xfId="64" applyNumberFormat="1" applyFont="1" applyFill="1" applyProtection="1"/>
    <xf numFmtId="171" fontId="2" fillId="0" borderId="11" xfId="64" applyNumberFormat="1" applyFont="1" applyFill="1" applyBorder="1" applyProtection="1"/>
    <xf numFmtId="171" fontId="2" fillId="0" borderId="10" xfId="64" applyNumberFormat="1" applyFont="1" applyFill="1" applyBorder="1" applyProtection="1"/>
    <xf numFmtId="171" fontId="2" fillId="0" borderId="12" xfId="64" applyNumberFormat="1" applyFont="1" applyFill="1" applyBorder="1" applyProtection="1"/>
    <xf numFmtId="167" fontId="0" fillId="0" borderId="0" xfId="1" applyNumberFormat="1" applyFont="1"/>
    <xf numFmtId="0" fontId="7" fillId="5" borderId="1" xfId="0" applyFont="1" applyFill="1" applyBorder="1"/>
    <xf numFmtId="167" fontId="14" fillId="0" borderId="13" xfId="1" applyNumberFormat="1" applyFont="1" applyBorder="1" applyAlignment="1">
      <alignment horizontal="right"/>
    </xf>
    <xf numFmtId="167" fontId="14" fillId="0" borderId="2" xfId="1" applyNumberFormat="1" applyFont="1" applyBorder="1" applyAlignment="1">
      <alignment horizontal="right"/>
    </xf>
    <xf numFmtId="167" fontId="14" fillId="0" borderId="0" xfId="1" applyNumberFormat="1" applyFont="1" applyBorder="1" applyAlignment="1">
      <alignment horizontal="right"/>
    </xf>
    <xf numFmtId="167" fontId="14" fillId="0" borderId="4" xfId="1" applyNumberFormat="1" applyFont="1" applyBorder="1" applyAlignment="1">
      <alignment horizontal="right"/>
    </xf>
    <xf numFmtId="3" fontId="0" fillId="0" borderId="0" xfId="0" applyNumberFormat="1" applyBorder="1"/>
    <xf numFmtId="3" fontId="0" fillId="0" borderId="4" xfId="0" applyNumberFormat="1" applyBorder="1"/>
    <xf numFmtId="167" fontId="14" fillId="5" borderId="0" xfId="1" applyNumberFormat="1" applyFont="1" applyFill="1" applyBorder="1" applyAlignment="1">
      <alignment horizontal="right"/>
    </xf>
    <xf numFmtId="167" fontId="14" fillId="5" borderId="4" xfId="1" applyNumberFormat="1" applyFont="1" applyFill="1" applyBorder="1" applyAlignment="1">
      <alignment horizontal="right"/>
    </xf>
    <xf numFmtId="9" fontId="0" fillId="0" borderId="0" xfId="1" applyFont="1" applyBorder="1"/>
    <xf numFmtId="9" fontId="0" fillId="5" borderId="0" xfId="1" applyFont="1" applyFill="1" applyBorder="1"/>
    <xf numFmtId="9" fontId="0" fillId="5" borderId="4" xfId="1" applyFont="1" applyFill="1" applyBorder="1"/>
    <xf numFmtId="0" fontId="0" fillId="0" borderId="14" xfId="0" applyBorder="1"/>
    <xf numFmtId="167" fontId="14" fillId="0" borderId="15" xfId="1" applyNumberFormat="1" applyFont="1" applyBorder="1" applyAlignment="1">
      <alignment horizontal="right"/>
    </xf>
    <xf numFmtId="3" fontId="0" fillId="0" borderId="15" xfId="0" applyNumberFormat="1" applyBorder="1"/>
    <xf numFmtId="3" fontId="0" fillId="0" borderId="16" xfId="0" applyNumberFormat="1" applyBorder="1"/>
    <xf numFmtId="2" fontId="0" fillId="0" borderId="0" xfId="0" applyNumberFormat="1" applyBorder="1"/>
    <xf numFmtId="2" fontId="0" fillId="5" borderId="0" xfId="0" applyNumberFormat="1" applyFill="1" applyBorder="1"/>
    <xf numFmtId="2" fontId="0" fillId="5" borderId="4" xfId="0" applyNumberFormat="1" applyFill="1" applyBorder="1"/>
    <xf numFmtId="3" fontId="0" fillId="5" borderId="0" xfId="0" applyNumberFormat="1" applyFill="1" applyBorder="1"/>
    <xf numFmtId="0" fontId="0" fillId="5" borderId="0" xfId="0" applyFill="1" applyBorder="1"/>
    <xf numFmtId="0" fontId="0" fillId="5" borderId="4" xfId="0" applyFill="1" applyBorder="1"/>
    <xf numFmtId="3" fontId="0" fillId="5" borderId="4" xfId="0" applyNumberFormat="1" applyFill="1" applyBorder="1"/>
    <xf numFmtId="167" fontId="14" fillId="0" borderId="16" xfId="1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3" fontId="0" fillId="0" borderId="7" xfId="0" quotePrefix="1" applyNumberFormat="1" applyFill="1" applyBorder="1"/>
    <xf numFmtId="0" fontId="14" fillId="0" borderId="0" xfId="0" applyFon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3" fontId="18" fillId="0" borderId="0" xfId="0" applyNumberFormat="1" applyFont="1" applyFill="1"/>
    <xf numFmtId="0" fontId="0" fillId="0" borderId="1" xfId="0" applyBorder="1"/>
    <xf numFmtId="9" fontId="0" fillId="5" borderId="2" xfId="0" applyNumberFormat="1" applyFill="1" applyBorder="1"/>
    <xf numFmtId="9" fontId="0" fillId="5" borderId="4" xfId="0" applyNumberFormat="1" applyFill="1" applyBorder="1"/>
    <xf numFmtId="10" fontId="0" fillId="5" borderId="4" xfId="0" applyNumberFormat="1" applyFill="1" applyBorder="1"/>
    <xf numFmtId="0" fontId="0" fillId="0" borderId="17" xfId="0" applyBorder="1"/>
    <xf numFmtId="172" fontId="0" fillId="0" borderId="18" xfId="0" applyNumberFormat="1" applyBorder="1"/>
    <xf numFmtId="167" fontId="0" fillId="0" borderId="0" xfId="1" applyNumberFormat="1" applyFont="1" applyBorder="1"/>
    <xf numFmtId="9" fontId="0" fillId="0" borderId="4" xfId="0" applyNumberFormat="1" applyBorder="1"/>
    <xf numFmtId="0" fontId="0" fillId="0" borderId="15" xfId="0" applyBorder="1"/>
    <xf numFmtId="0" fontId="0" fillId="0" borderId="19" xfId="0" applyBorder="1"/>
    <xf numFmtId="167" fontId="0" fillId="0" borderId="18" xfId="1" applyNumberFormat="1" applyFont="1" applyBorder="1"/>
    <xf numFmtId="0" fontId="0" fillId="0" borderId="13" xfId="0" applyBorder="1"/>
    <xf numFmtId="3" fontId="0" fillId="0" borderId="2" xfId="0" applyNumberFormat="1" applyBorder="1"/>
    <xf numFmtId="0" fontId="0" fillId="0" borderId="5" xfId="0" applyBorder="1"/>
    <xf numFmtId="0" fontId="0" fillId="0" borderId="20" xfId="0" applyBorder="1"/>
    <xf numFmtId="168" fontId="0" fillId="0" borderId="6" xfId="0" applyNumberFormat="1" applyBorder="1"/>
    <xf numFmtId="3" fontId="0" fillId="0" borderId="6" xfId="0" applyNumberFormat="1" applyBorder="1"/>
    <xf numFmtId="173" fontId="0" fillId="0" borderId="6" xfId="0" applyNumberFormat="1" applyBorder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5" fillId="0" borderId="21" xfId="0" applyFont="1" applyBorder="1"/>
    <xf numFmtId="0" fontId="35" fillId="0" borderId="21" xfId="0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6" fillId="0" borderId="0" xfId="0" applyFont="1"/>
    <xf numFmtId="0" fontId="37" fillId="0" borderId="5" xfId="0" applyFont="1" applyBorder="1" applyAlignment="1">
      <alignment horizontal="centerContinuous"/>
    </xf>
    <xf numFmtId="0" fontId="37" fillId="0" borderId="20" xfId="0" applyFont="1" applyBorder="1" applyAlignment="1">
      <alignment horizontal="centerContinuous"/>
    </xf>
    <xf numFmtId="0" fontId="37" fillId="0" borderId="6" xfId="0" applyFont="1" applyBorder="1" applyAlignment="1">
      <alignment horizontal="centerContinuous"/>
    </xf>
    <xf numFmtId="0" fontId="38" fillId="0" borderId="21" xfId="0" applyFont="1" applyBorder="1" applyAlignment="1">
      <alignment horizontal="center"/>
    </xf>
    <xf numFmtId="0" fontId="36" fillId="0" borderId="21" xfId="0" applyFont="1" applyBorder="1"/>
    <xf numFmtId="0" fontId="36" fillId="0" borderId="21" xfId="0" applyFont="1" applyBorder="1" applyAlignment="1">
      <alignment horizontal="center"/>
    </xf>
    <xf numFmtId="10" fontId="36" fillId="0" borderId="21" xfId="0" applyNumberFormat="1" applyFont="1" applyBorder="1" applyAlignment="1">
      <alignment horizontal="center"/>
    </xf>
    <xf numFmtId="165" fontId="36" fillId="0" borderId="21" xfId="807" applyFont="1" applyBorder="1"/>
    <xf numFmtId="10" fontId="36" fillId="0" borderId="0" xfId="0" applyNumberFormat="1" applyFont="1"/>
    <xf numFmtId="10" fontId="36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10" fontId="36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0" fontId="36" fillId="0" borderId="21" xfId="0" applyNumberFormat="1" applyFont="1" applyBorder="1"/>
    <xf numFmtId="0" fontId="39" fillId="0" borderId="0" xfId="0" applyFont="1"/>
    <xf numFmtId="0" fontId="37" fillId="0" borderId="0" xfId="0" applyFont="1"/>
    <xf numFmtId="10" fontId="36" fillId="0" borderId="21" xfId="1" applyNumberFormat="1" applyFont="1" applyBorder="1" applyAlignment="1">
      <alignment horizontal="center"/>
    </xf>
    <xf numFmtId="0" fontId="37" fillId="0" borderId="0" xfId="0" applyFont="1" applyBorder="1" applyAlignment="1">
      <alignment horizontal="centerContinuous"/>
    </xf>
    <xf numFmtId="167" fontId="40" fillId="6" borderId="0" xfId="0" applyNumberFormat="1" applyFont="1" applyFill="1" applyAlignment="1">
      <alignment horizontal="right"/>
    </xf>
    <xf numFmtId="0" fontId="0" fillId="0" borderId="3" xfId="0" applyFill="1" applyBorder="1"/>
    <xf numFmtId="172" fontId="0" fillId="0" borderId="4" xfId="0" applyNumberFormat="1" applyBorder="1"/>
    <xf numFmtId="171" fontId="0" fillId="0" borderId="0" xfId="0" applyNumberFormat="1"/>
    <xf numFmtId="174" fontId="0" fillId="0" borderId="0" xfId="896" applyNumberFormat="1" applyFont="1"/>
    <xf numFmtId="41" fontId="0" fillId="0" borderId="0" xfId="896" applyFont="1"/>
    <xf numFmtId="0" fontId="0" fillId="5" borderId="0" xfId="0" applyFill="1"/>
    <xf numFmtId="3" fontId="12" fillId="0" borderId="0" xfId="0" applyNumberFormat="1" applyFont="1" applyFill="1" applyBorder="1"/>
    <xf numFmtId="167" fontId="14" fillId="0" borderId="0" xfId="896" applyNumberFormat="1" applyFont="1" applyBorder="1" applyAlignment="1">
      <alignment horizontal="right"/>
    </xf>
    <xf numFmtId="175" fontId="14" fillId="0" borderId="0" xfId="896" applyNumberFormat="1" applyFont="1" applyBorder="1" applyAlignment="1">
      <alignment horizontal="right"/>
    </xf>
    <xf numFmtId="41" fontId="0" fillId="0" borderId="0" xfId="0" applyNumberFormat="1"/>
    <xf numFmtId="175" fontId="14" fillId="0" borderId="4" xfId="896" applyNumberFormat="1" applyFont="1" applyBorder="1" applyAlignment="1">
      <alignment horizontal="right"/>
    </xf>
    <xf numFmtId="171" fontId="41" fillId="2" borderId="11" xfId="64" applyNumberFormat="1" applyFont="1" applyFill="1" applyBorder="1" applyProtection="1"/>
    <xf numFmtId="164" fontId="11" fillId="0" borderId="0" xfId="897" applyFont="1" applyBorder="1" applyAlignment="1">
      <alignment horizontal="right"/>
    </xf>
    <xf numFmtId="164" fontId="11" fillId="0" borderId="4" xfId="897" applyFont="1" applyBorder="1" applyAlignment="1">
      <alignment horizontal="right"/>
    </xf>
    <xf numFmtId="167" fontId="11" fillId="0" borderId="0" xfId="1" applyNumberFormat="1" applyFont="1" applyBorder="1" applyAlignment="1">
      <alignment horizontal="right"/>
    </xf>
    <xf numFmtId="167" fontId="11" fillId="0" borderId="4" xfId="1" applyNumberFormat="1" applyFont="1" applyBorder="1" applyAlignment="1">
      <alignment horizontal="right"/>
    </xf>
    <xf numFmtId="0" fontId="0" fillId="0" borderId="2" xfId="0" applyBorder="1"/>
    <xf numFmtId="0" fontId="0" fillId="0" borderId="16" xfId="0" applyBorder="1"/>
    <xf numFmtId="41" fontId="0" fillId="5" borderId="0" xfId="896" applyFont="1" applyFill="1" applyBorder="1"/>
    <xf numFmtId="0" fontId="9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/>
    <xf numFmtId="0" fontId="9" fillId="0" borderId="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4" borderId="0" xfId="0" applyFont="1" applyFill="1" applyBorder="1"/>
    <xf numFmtId="0" fontId="1" fillId="2" borderId="0" xfId="0" applyFont="1" applyFill="1" applyBorder="1"/>
    <xf numFmtId="0" fontId="0" fillId="0" borderId="0" xfId="0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49" fontId="28" fillId="0" borderId="0" xfId="0" applyNumberFormat="1" applyFont="1"/>
    <xf numFmtId="49" fontId="0" fillId="0" borderId="0" xfId="0" applyNumberFormat="1"/>
    <xf numFmtId="49" fontId="21" fillId="0" borderId="0" xfId="0" applyNumberFormat="1" applyFont="1"/>
    <xf numFmtId="49" fontId="20" fillId="0" borderId="0" xfId="0" applyNumberFormat="1" applyFont="1"/>
    <xf numFmtId="49" fontId="22" fillId="0" borderId="0" xfId="0" applyNumberFormat="1" applyFont="1"/>
    <xf numFmtId="49" fontId="20" fillId="0" borderId="0" xfId="0" applyNumberFormat="1" applyFont="1" applyAlignment="1">
      <alignment horizontal="left" indent="2"/>
    </xf>
    <xf numFmtId="49" fontId="24" fillId="0" borderId="0" xfId="0" applyNumberFormat="1" applyFont="1" applyAlignment="1">
      <alignment horizontal="left" indent="4"/>
    </xf>
    <xf numFmtId="49" fontId="24" fillId="0" borderId="0" xfId="0" applyNumberFormat="1" applyFont="1" applyAlignment="1">
      <alignment horizontal="left" indent="2"/>
    </xf>
    <xf numFmtId="49" fontId="20" fillId="0" borderId="0" xfId="0" applyNumberFormat="1" applyFont="1" applyAlignment="1">
      <alignment horizontal="left" vertical="center" wrapText="1" indent="2"/>
    </xf>
    <xf numFmtId="49" fontId="20" fillId="0" borderId="0" xfId="0" quotePrefix="1" applyNumberFormat="1" applyFont="1" applyAlignment="1">
      <alignment horizontal="left" indent="2"/>
    </xf>
    <xf numFmtId="49" fontId="22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 wrapText="1"/>
    </xf>
    <xf numFmtId="49" fontId="20" fillId="0" borderId="0" xfId="0" applyNumberFormat="1" applyFont="1" applyFill="1"/>
    <xf numFmtId="49" fontId="22" fillId="0" borderId="0" xfId="0" applyNumberFormat="1" applyFont="1" applyFill="1"/>
    <xf numFmtId="49" fontId="20" fillId="0" borderId="0" xfId="0" applyNumberFormat="1" applyFont="1" applyFill="1" applyAlignment="1">
      <alignment horizontal="left" indent="3"/>
    </xf>
    <xf numFmtId="49" fontId="20" fillId="0" borderId="0" xfId="0" applyNumberFormat="1" applyFont="1" applyAlignment="1">
      <alignment horizontal="center"/>
    </xf>
    <xf numFmtId="49" fontId="23" fillId="0" borderId="0" xfId="106" applyNumberFormat="1" applyFont="1" applyProtection="1"/>
    <xf numFmtId="49" fontId="24" fillId="5" borderId="0" xfId="106" applyNumberFormat="1" applyFont="1" applyFill="1" applyProtection="1"/>
    <xf numFmtId="49" fontId="24" fillId="0" borderId="0" xfId="106" applyNumberFormat="1" applyFont="1" applyProtection="1"/>
    <xf numFmtId="49" fontId="24" fillId="5" borderId="0" xfId="106" applyNumberFormat="1" applyFont="1" applyFill="1" applyAlignment="1" applyProtection="1">
      <alignment horizontal="left" indent="1"/>
    </xf>
    <xf numFmtId="49" fontId="23" fillId="0" borderId="0" xfId="106" applyNumberFormat="1" applyFont="1" applyFill="1" applyProtection="1"/>
    <xf numFmtId="49" fontId="24" fillId="0" borderId="0" xfId="106" applyNumberFormat="1" applyFont="1" applyAlignment="1" applyProtection="1">
      <alignment horizontal="left" indent="1"/>
    </xf>
    <xf numFmtId="49" fontId="24" fillId="5" borderId="0" xfId="106" applyNumberFormat="1" applyFont="1" applyFill="1" applyAlignment="1" applyProtection="1">
      <alignment horizontal="left" indent="2"/>
    </xf>
    <xf numFmtId="49" fontId="24" fillId="0" borderId="0" xfId="106" applyNumberFormat="1" applyFont="1" applyAlignment="1" applyProtection="1">
      <alignment horizontal="left" indent="2"/>
    </xf>
    <xf numFmtId="49" fontId="24" fillId="0" borderId="0" xfId="0" applyNumberFormat="1" applyFont="1"/>
    <xf numFmtId="49" fontId="23" fillId="0" borderId="0" xfId="0" applyNumberFormat="1" applyFont="1"/>
    <xf numFmtId="0" fontId="0" fillId="0" borderId="0" xfId="0" applyFont="1" applyFill="1" applyAlignment="1">
      <alignment wrapText="1"/>
    </xf>
    <xf numFmtId="0" fontId="7" fillId="0" borderId="0" xfId="0" applyFont="1"/>
    <xf numFmtId="0" fontId="37" fillId="0" borderId="5" xfId="0" applyFont="1" applyBorder="1" applyAlignment="1">
      <alignment horizontal="left"/>
    </xf>
    <xf numFmtId="0" fontId="42" fillId="0" borderId="0" xfId="0" applyFont="1" applyAlignment="1">
      <alignment vertical="center"/>
    </xf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0" fontId="0" fillId="0" borderId="3" xfId="0" applyBorder="1"/>
    <xf numFmtId="0" fontId="11" fillId="0" borderId="0" xfId="0" applyFont="1"/>
    <xf numFmtId="0" fontId="14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33" fillId="0" borderId="0" xfId="0" applyFont="1"/>
    <xf numFmtId="0" fontId="7" fillId="5" borderId="1" xfId="0" applyFont="1" applyFill="1" applyBorder="1"/>
    <xf numFmtId="0" fontId="0" fillId="0" borderId="14" xfId="0" applyBorder="1"/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0" fontId="14" fillId="0" borderId="0" xfId="0" applyFont="1" applyFill="1"/>
    <xf numFmtId="0" fontId="0" fillId="0" borderId="0" xfId="0" applyFill="1" applyAlignment="1">
      <alignment horizontal="left" indent="1"/>
    </xf>
    <xf numFmtId="0" fontId="2" fillId="7" borderId="0" xfId="0" applyFont="1" applyFill="1"/>
    <xf numFmtId="0" fontId="0" fillId="7" borderId="0" xfId="0" applyFill="1"/>
    <xf numFmtId="0" fontId="0" fillId="7" borderId="3" xfId="0" applyFill="1" applyBorder="1"/>
    <xf numFmtId="0" fontId="7" fillId="7" borderId="3" xfId="0" applyFont="1" applyFill="1" applyBorder="1"/>
    <xf numFmtId="0" fontId="7" fillId="7" borderId="1" xfId="0" applyFont="1" applyFill="1" applyBorder="1"/>
  </cellXfs>
  <cellStyles count="902">
    <cellStyle name="%" xfId="65" xr:uid="{00000000-0005-0000-0000-000000000000}"/>
    <cellStyle name="Comma" xfId="64" builtinId="3"/>
    <cellStyle name="Comma [0]" xfId="896" builtinId="6"/>
    <cellStyle name="Comma [0] 2" xfId="901" xr:uid="{D0DCC9D8-DCF7-4E44-85CC-550E22620219}"/>
    <cellStyle name="Comma 2" xfId="899" xr:uid="{105EE121-E835-4709-AADE-5F4C9B95F408}"/>
    <cellStyle name="Comma 3" xfId="900" xr:uid="{A9A9332E-5A40-4111-AA87-D3C552773B6F}"/>
    <cellStyle name="Currency" xfId="807" builtinId="4"/>
    <cellStyle name="Currency [0]" xfId="897" builtinId="7"/>
    <cellStyle name="Currency 2 2" xfId="898" xr:uid="{5E32398B-2DEF-4833-A25E-575472F35F8E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Normal" xfId="0" builtinId="0"/>
    <cellStyle name="Normal_FE" xfId="106" xr:uid="{00000000-0005-0000-0000-00007E03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Principales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Graficos!$B$2</c:f>
              <c:strCache>
                <c:ptCount val="1"/>
                <c:pt idx="0">
                  <c:v>Receita Operacional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Graficos!$C$1:$J$1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Graficos!$C$2:$J$2</c:f>
              <c:numCache>
                <c:formatCode>_-* #,##0,_-;\-* #,##0,_-;_-* "-"_-;_-@_-</c:formatCode>
                <c:ptCount val="8"/>
                <c:pt idx="0">
                  <c:v>38390799.110719994</c:v>
                </c:pt>
                <c:pt idx="1">
                  <c:v>39173669.476390004</c:v>
                </c:pt>
                <c:pt idx="2">
                  <c:v>39847271.852370001</c:v>
                </c:pt>
                <c:pt idx="3">
                  <c:v>41106445.6429049</c:v>
                </c:pt>
                <c:pt idx="4">
                  <c:v>42487622.216506511</c:v>
                </c:pt>
                <c:pt idx="5">
                  <c:v>43864221.17632132</c:v>
                </c:pt>
                <c:pt idx="6">
                  <c:v>45219625.610669643</c:v>
                </c:pt>
                <c:pt idx="7">
                  <c:v>46146627.935688369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5-48AB-B1C2-FD821CF425F5}"/>
            </c:ext>
          </c:extLst>
        </c:ser>
        <c:ser>
          <c:idx val="1"/>
          <c:order val="1"/>
          <c:tx>
            <c:strRef>
              <c:f>Graficos!$B$3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Graficos!$C$1:$J$1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Graficos!$C$3:$J$3</c:f>
              <c:numCache>
                <c:formatCode>_-* #,##0,_-;\-* #,##0,_-;_-* "-"_-;_-@_-</c:formatCode>
                <c:ptCount val="8"/>
                <c:pt idx="0">
                  <c:v>7641369.6065999968</c:v>
                </c:pt>
                <c:pt idx="1">
                  <c:v>8510018.1046300065</c:v>
                </c:pt>
                <c:pt idx="2">
                  <c:v>11133006.333070002</c:v>
                </c:pt>
                <c:pt idx="3">
                  <c:v>10152657.930394916</c:v>
                </c:pt>
                <c:pt idx="4">
                  <c:v>10386542.827572508</c:v>
                </c:pt>
                <c:pt idx="5">
                  <c:v>10646983.130123015</c:v>
                </c:pt>
                <c:pt idx="6">
                  <c:v>10823365.918588065</c:v>
                </c:pt>
                <c:pt idx="7">
                  <c:v>10834295.913869379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5-48AB-B1C2-FD821CF425F5}"/>
            </c:ext>
          </c:extLst>
        </c:ser>
        <c:ser>
          <c:idx val="2"/>
          <c:order val="2"/>
          <c:tx>
            <c:strRef>
              <c:f>Graficos!$B$4</c:f>
              <c:strCache>
                <c:ptCount val="1"/>
                <c:pt idx="0">
                  <c:v>(+) Novos Empréstimos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Graficos!$C$1:$J$1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Graficos!$C$4:$J$4</c:f>
              <c:numCache>
                <c:formatCode>_-* #,##0,_-;\-* #,##0,_-;_-* "-"_-;_-@_-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3232406.5708783409</c:v>
                </c:pt>
                <c:pt idx="4">
                  <c:v>772810.15741156973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5-48AB-B1C2-FD821CF4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975384"/>
        <c:axId val="878980304"/>
      </c:lineChart>
      <c:catAx>
        <c:axId val="87897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80304"/>
        <c:crosses val="autoZero"/>
        <c:auto val="1"/>
        <c:lblAlgn val="ctr"/>
        <c:lblOffset val="100"/>
        <c:noMultiLvlLbl val="0"/>
      </c:catAx>
      <c:valAx>
        <c:axId val="87898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-* #,##0,_-;\-* #,##0,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7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Principais Variáveis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Graficos!$B$2</c:f>
              <c:strCache>
                <c:ptCount val="1"/>
                <c:pt idx="0">
                  <c:v>Receita Operacional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Graficos!$C$1:$J$1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Graficos!$C$2:$J$2</c:f>
              <c:numCache>
                <c:formatCode>_-* #,##0,_-;\-* #,##0,_-;_-* "-"_-;_-@_-</c:formatCode>
                <c:ptCount val="8"/>
                <c:pt idx="0">
                  <c:v>38390799.110719994</c:v>
                </c:pt>
                <c:pt idx="1">
                  <c:v>39173669.476390004</c:v>
                </c:pt>
                <c:pt idx="2">
                  <c:v>39847271.852370001</c:v>
                </c:pt>
                <c:pt idx="3">
                  <c:v>41106445.6429049</c:v>
                </c:pt>
                <c:pt idx="4">
                  <c:v>42487622.216506511</c:v>
                </c:pt>
                <c:pt idx="5">
                  <c:v>43864221.17632132</c:v>
                </c:pt>
                <c:pt idx="6">
                  <c:v>45219625.610669643</c:v>
                </c:pt>
                <c:pt idx="7">
                  <c:v>46146627.935688369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8-4D5F-85C5-C26E3F479A0D}"/>
            </c:ext>
          </c:extLst>
        </c:ser>
        <c:ser>
          <c:idx val="1"/>
          <c:order val="1"/>
          <c:tx>
            <c:strRef>
              <c:f>Graficos!$B$3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Graficos!$C$1:$J$1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Graficos!$C$3:$J$3</c:f>
              <c:numCache>
                <c:formatCode>_-* #,##0,_-;\-* #,##0,_-;_-* "-"_-;_-@_-</c:formatCode>
                <c:ptCount val="8"/>
                <c:pt idx="0">
                  <c:v>7641369.6065999968</c:v>
                </c:pt>
                <c:pt idx="1">
                  <c:v>8510018.1046300065</c:v>
                </c:pt>
                <c:pt idx="2">
                  <c:v>11133006.333070002</c:v>
                </c:pt>
                <c:pt idx="3">
                  <c:v>10152657.930394916</c:v>
                </c:pt>
                <c:pt idx="4">
                  <c:v>10386542.827572508</c:v>
                </c:pt>
                <c:pt idx="5">
                  <c:v>10646983.130123015</c:v>
                </c:pt>
                <c:pt idx="6">
                  <c:v>10823365.918588065</c:v>
                </c:pt>
                <c:pt idx="7">
                  <c:v>10834295.913869379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8-4D5F-85C5-C26E3F479A0D}"/>
            </c:ext>
          </c:extLst>
        </c:ser>
        <c:ser>
          <c:idx val="2"/>
          <c:order val="2"/>
          <c:tx>
            <c:strRef>
              <c:f>Graficos!$B$4</c:f>
              <c:strCache>
                <c:ptCount val="1"/>
                <c:pt idx="0">
                  <c:v>(+) Novos Empréstimos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Graficos!$C$1:$J$1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Graficos!$C$4:$J$4</c:f>
              <c:numCache>
                <c:formatCode>_-* #,##0,_-;\-* #,##0,_-;_-* "-"_-;_-@_-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3232406.5708783409</c:v>
                </c:pt>
                <c:pt idx="4">
                  <c:v>772810.15741156973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8-4D5F-85C5-C26E3F479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975384"/>
        <c:axId val="878980304"/>
      </c:lineChart>
      <c:catAx>
        <c:axId val="87897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80304"/>
        <c:crosses val="autoZero"/>
        <c:auto val="1"/>
        <c:lblAlgn val="ctr"/>
        <c:lblOffset val="100"/>
        <c:noMultiLvlLbl val="0"/>
      </c:catAx>
      <c:valAx>
        <c:axId val="87898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Milhões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-* #,##0,_-;\-* #,##0,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7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47</xdr:row>
      <xdr:rowOff>23812</xdr:rowOff>
    </xdr:from>
    <xdr:to>
      <xdr:col>15</xdr:col>
      <xdr:colOff>404812</xdr:colOff>
      <xdr:row>62</xdr:row>
      <xdr:rowOff>20637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4DC14B-3595-42DA-8886-35829C775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244475</xdr:colOff>
      <xdr:row>5</xdr:row>
      <xdr:rowOff>88900</xdr:rowOff>
    </xdr:from>
    <xdr:to>
      <xdr:col>5</xdr:col>
      <xdr:colOff>739775</xdr:colOff>
      <xdr:row>20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7CD1E-008B-45A5-82D9-7DB042F79C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tes.ey.com/sites/KfW-ZNI/Shared%20Documents/General/Fase%201%20-%20Diagn&#243;stico/Diagn&#243;stico%20Financiero%20-%20Adminsitrativo/Modelo%20Financiero%20-%20Deu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Insumos"/>
      <sheetName val="Datos Prestadores"/>
      <sheetName val="Parámetros"/>
      <sheetName val="Matriz Deuda"/>
      <sheetName val="Resultados Financieros"/>
      <sheetName val="Indicadores"/>
    </sheetNames>
    <sheetDataSet>
      <sheetData sheetId="0"/>
      <sheetData sheetId="1"/>
      <sheetData sheetId="2"/>
      <sheetData sheetId="3">
        <row r="33">
          <cell r="G33">
            <v>1600000000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842E-2D6E-4A76-8BAA-3939560FE882}">
  <sheetPr codeName="Sheet8"/>
  <dimension ref="A1:J157"/>
  <sheetViews>
    <sheetView tabSelected="1" zoomScale="86" zoomScaleNormal="86" zoomScalePageLayoutView="15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A120" sqref="A120"/>
    </sheetView>
  </sheetViews>
  <sheetFormatPr defaultColWidth="10.90625" defaultRowHeight="14.5" x14ac:dyDescent="0.35"/>
  <cols>
    <col min="1" max="1" width="59.453125" bestFit="1" customWidth="1"/>
  </cols>
  <sheetData>
    <row r="1" spans="1:10" ht="38.5" customHeight="1" x14ac:dyDescent="0.45">
      <c r="A1" s="61" t="s">
        <v>12</v>
      </c>
      <c r="B1" s="228" t="s">
        <v>55</v>
      </c>
      <c r="C1" s="228"/>
      <c r="D1" s="228"/>
      <c r="E1" s="228"/>
      <c r="F1" s="228"/>
      <c r="G1" s="228"/>
      <c r="H1" s="228"/>
      <c r="I1" s="228"/>
      <c r="J1" s="228"/>
    </row>
    <row r="2" spans="1:10" x14ac:dyDescent="0.35">
      <c r="A2" t="s">
        <v>62</v>
      </c>
    </row>
    <row r="3" spans="1:10" ht="18" x14ac:dyDescent="0.4">
      <c r="A3" s="38" t="s">
        <v>63</v>
      </c>
      <c r="B3" s="80">
        <v>2019</v>
      </c>
      <c r="C3" s="80">
        <v>2020</v>
      </c>
      <c r="D3" s="80">
        <v>2021</v>
      </c>
      <c r="E3" s="80">
        <v>2022</v>
      </c>
      <c r="F3" s="80">
        <v>2023</v>
      </c>
      <c r="G3" s="80">
        <v>2024</v>
      </c>
      <c r="H3" s="80">
        <v>2025</v>
      </c>
      <c r="I3" s="80">
        <v>2026</v>
      </c>
    </row>
    <row r="4" spans="1:10" ht="15.5" x14ac:dyDescent="0.35">
      <c r="A4" s="40"/>
      <c r="B4" s="39"/>
      <c r="C4" s="39"/>
      <c r="D4" s="39"/>
      <c r="E4" s="39"/>
      <c r="F4" s="39"/>
      <c r="G4" s="39"/>
      <c r="H4" s="39"/>
      <c r="I4" s="39"/>
    </row>
    <row r="5" spans="1:10" ht="15.5" x14ac:dyDescent="0.35">
      <c r="A5" s="41" t="s">
        <v>51</v>
      </c>
      <c r="B5" s="42">
        <v>69761703.739999995</v>
      </c>
      <c r="C5" s="42">
        <v>103637104</v>
      </c>
      <c r="D5" s="91">
        <v>109946257.50559999</v>
      </c>
      <c r="E5" s="42"/>
      <c r="F5" s="42"/>
      <c r="G5" s="42"/>
      <c r="H5" s="42"/>
      <c r="I5" s="42"/>
    </row>
    <row r="6" spans="1:10" ht="15.5" x14ac:dyDescent="0.35">
      <c r="A6" s="40"/>
      <c r="B6" s="43"/>
      <c r="C6" s="43"/>
      <c r="D6" s="43"/>
      <c r="E6" s="43"/>
      <c r="F6" s="43"/>
      <c r="G6" s="43"/>
      <c r="H6" s="43"/>
      <c r="I6" s="43"/>
    </row>
    <row r="7" spans="1:10" ht="15.5" x14ac:dyDescent="0.35">
      <c r="A7" s="41" t="s">
        <v>52</v>
      </c>
      <c r="B7" s="42">
        <v>50374949.725000001</v>
      </c>
      <c r="C7" s="42">
        <v>79684750.123796999</v>
      </c>
      <c r="D7" s="91">
        <v>83957975.959619999</v>
      </c>
      <c r="E7" s="42"/>
      <c r="F7" s="42"/>
      <c r="G7" s="42"/>
      <c r="H7" s="42"/>
      <c r="I7" s="42"/>
    </row>
    <row r="8" spans="1:10" ht="15.5" x14ac:dyDescent="0.35">
      <c r="A8" s="50"/>
      <c r="B8" s="43"/>
      <c r="C8" s="43"/>
      <c r="D8" s="43"/>
      <c r="E8" s="43"/>
      <c r="F8" s="43"/>
      <c r="G8" s="43"/>
      <c r="H8" s="43"/>
      <c r="I8" s="43"/>
    </row>
    <row r="9" spans="1:10" ht="15.5" x14ac:dyDescent="0.35">
      <c r="A9" s="51" t="s">
        <v>53</v>
      </c>
      <c r="B9" s="52">
        <v>19386754.014999993</v>
      </c>
      <c r="C9" s="52">
        <v>23952353.876203001</v>
      </c>
      <c r="D9" s="52">
        <v>25988281.545979992</v>
      </c>
      <c r="E9" s="52"/>
      <c r="F9" s="52"/>
      <c r="G9" s="52"/>
      <c r="H9" s="52"/>
      <c r="I9" s="52"/>
    </row>
    <row r="10" spans="1:10" ht="15.5" x14ac:dyDescent="0.35">
      <c r="A10" s="45" t="s">
        <v>54</v>
      </c>
      <c r="B10" s="53">
        <v>0.27789966379338882</v>
      </c>
      <c r="C10" s="53">
        <v>0.23111755299726439</v>
      </c>
      <c r="D10" s="48">
        <v>0.23637258907749822</v>
      </c>
      <c r="E10" s="53"/>
      <c r="F10" s="53"/>
      <c r="G10" s="53"/>
      <c r="H10" s="53"/>
      <c r="I10" s="53"/>
    </row>
    <row r="11" spans="1:10" ht="15.5" x14ac:dyDescent="0.35">
      <c r="A11" s="50"/>
      <c r="B11" s="43"/>
      <c r="C11" s="43"/>
      <c r="D11" s="43"/>
      <c r="E11" s="43"/>
      <c r="F11" s="43"/>
      <c r="G11" s="43"/>
      <c r="H11" s="43"/>
      <c r="I11" s="43"/>
    </row>
    <row r="12" spans="1:10" ht="15.5" x14ac:dyDescent="0.35">
      <c r="A12" s="41" t="s">
        <v>9</v>
      </c>
      <c r="B12" s="44">
        <v>6437320.6769399997</v>
      </c>
      <c r="C12" s="44">
        <v>7650490.2394700004</v>
      </c>
      <c r="D12" s="106">
        <v>8434702.1804400012</v>
      </c>
      <c r="E12" s="44"/>
      <c r="F12" s="44"/>
      <c r="G12" s="44"/>
      <c r="H12" s="44"/>
      <c r="I12" s="44"/>
    </row>
    <row r="13" spans="1:10" ht="15.5" x14ac:dyDescent="0.35">
      <c r="A13" s="50" t="s">
        <v>10</v>
      </c>
      <c r="B13" s="43">
        <v>2044360.3899400001</v>
      </c>
      <c r="C13" s="43">
        <v>2815327.4330000002</v>
      </c>
      <c r="D13" s="93">
        <v>2569822.4287700001</v>
      </c>
      <c r="E13" s="43"/>
      <c r="F13" s="43"/>
      <c r="G13" s="43"/>
      <c r="H13" s="43"/>
      <c r="I13" s="43"/>
    </row>
    <row r="14" spans="1:10" ht="15.5" x14ac:dyDescent="0.35">
      <c r="A14" s="50" t="s">
        <v>93</v>
      </c>
      <c r="B14" s="43">
        <v>4392960.2869999995</v>
      </c>
      <c r="C14" s="43">
        <v>4835162.8064700002</v>
      </c>
      <c r="D14" s="93">
        <v>5864879.7516700001</v>
      </c>
      <c r="E14" s="43"/>
      <c r="F14" s="43"/>
      <c r="G14" s="43"/>
      <c r="H14" s="43"/>
      <c r="I14" s="43"/>
    </row>
    <row r="15" spans="1:10" ht="15.5" x14ac:dyDescent="0.35">
      <c r="A15" s="54"/>
      <c r="B15" s="55"/>
      <c r="C15" s="55"/>
      <c r="D15" s="55"/>
      <c r="E15" s="55"/>
      <c r="F15" s="55"/>
      <c r="G15" s="55"/>
      <c r="H15" s="55"/>
      <c r="I15" s="55"/>
    </row>
    <row r="16" spans="1:10" ht="15.5" x14ac:dyDescent="0.35">
      <c r="A16" s="56" t="s">
        <v>11</v>
      </c>
      <c r="B16" s="52">
        <v>12949433.338059993</v>
      </c>
      <c r="C16" s="52">
        <v>16301863.636732999</v>
      </c>
      <c r="D16" s="52">
        <v>17553579.36553999</v>
      </c>
      <c r="E16" s="52"/>
      <c r="F16" s="52"/>
      <c r="G16" s="52"/>
      <c r="H16" s="52"/>
      <c r="I16" s="52"/>
    </row>
    <row r="17" spans="1:9" ht="15.5" x14ac:dyDescent="0.35">
      <c r="A17" s="56" t="s">
        <v>56</v>
      </c>
      <c r="B17" s="57">
        <v>0.1856238114011978</v>
      </c>
      <c r="C17" s="57">
        <v>0.15729756050239496</v>
      </c>
      <c r="D17" s="57">
        <v>0.15965599706425584</v>
      </c>
      <c r="E17" s="57"/>
      <c r="F17" s="57"/>
      <c r="G17" s="57"/>
      <c r="H17" s="57"/>
      <c r="I17" s="57"/>
    </row>
    <row r="18" spans="1:9" ht="15.5" x14ac:dyDescent="0.35">
      <c r="A18" s="50"/>
      <c r="B18" s="53"/>
      <c r="C18" s="53"/>
      <c r="D18" s="53"/>
      <c r="E18" s="53"/>
      <c r="F18" s="53"/>
      <c r="G18" s="53"/>
      <c r="H18" s="53"/>
      <c r="I18" s="53"/>
    </row>
    <row r="19" spans="1:9" ht="15.5" x14ac:dyDescent="0.35">
      <c r="A19" s="50" t="s">
        <v>57</v>
      </c>
      <c r="B19" s="43">
        <v>4967062.5199899999</v>
      </c>
      <c r="C19" s="43">
        <v>4960606.8679999998</v>
      </c>
      <c r="D19" s="93">
        <v>4978771.6359999999</v>
      </c>
      <c r="E19" s="43"/>
      <c r="F19" s="43"/>
      <c r="G19" s="43"/>
      <c r="H19" s="43"/>
      <c r="I19" s="43"/>
    </row>
    <row r="20" spans="1:9" ht="15.5" x14ac:dyDescent="0.35">
      <c r="A20" s="50" t="s">
        <v>58</v>
      </c>
      <c r="B20" s="43">
        <v>718701.28200000001</v>
      </c>
      <c r="C20" s="43">
        <v>1121477.8500000001</v>
      </c>
      <c r="D20" s="93">
        <v>708486.34900000005</v>
      </c>
      <c r="E20" s="43"/>
      <c r="F20" s="43"/>
      <c r="G20" s="43"/>
      <c r="H20" s="43"/>
      <c r="I20" s="43"/>
    </row>
    <row r="21" spans="1:9" ht="15.5" x14ac:dyDescent="0.35">
      <c r="A21" s="50"/>
      <c r="B21" s="48"/>
      <c r="C21" s="48"/>
      <c r="D21" s="48"/>
      <c r="E21" s="48"/>
      <c r="F21" s="48"/>
      <c r="G21" s="48"/>
      <c r="H21" s="48"/>
      <c r="I21" s="48"/>
    </row>
    <row r="22" spans="1:9" ht="15.5" x14ac:dyDescent="0.35">
      <c r="A22" s="56" t="s">
        <v>64</v>
      </c>
      <c r="B22" s="52">
        <v>7263669.5360699939</v>
      </c>
      <c r="C22" s="52">
        <v>10219778.918732999</v>
      </c>
      <c r="D22" s="52">
        <v>11866321.380539991</v>
      </c>
      <c r="E22" s="52"/>
      <c r="F22" s="52"/>
      <c r="G22" s="52"/>
      <c r="H22" s="52"/>
      <c r="I22" s="52"/>
    </row>
    <row r="23" spans="1:9" ht="15.5" x14ac:dyDescent="0.35">
      <c r="A23" s="58" t="s">
        <v>65</v>
      </c>
      <c r="B23" s="95">
        <v>0.1</v>
      </c>
      <c r="C23" s="59">
        <v>9.8611197382869734E-2</v>
      </c>
      <c r="D23" s="59">
        <v>0.10792837928053707</v>
      </c>
      <c r="E23" s="59"/>
      <c r="F23" s="59"/>
      <c r="G23" s="59"/>
      <c r="H23" s="59"/>
      <c r="I23" s="59"/>
    </row>
    <row r="24" spans="1:9" ht="15.5" x14ac:dyDescent="0.35">
      <c r="A24" s="58"/>
      <c r="B24" s="59"/>
      <c r="C24" s="59"/>
      <c r="D24" s="59"/>
      <c r="E24" s="59"/>
      <c r="F24" s="59"/>
      <c r="G24" s="59"/>
      <c r="H24" s="59"/>
      <c r="I24" s="59"/>
    </row>
    <row r="25" spans="1:9" ht="15.5" x14ac:dyDescent="0.35">
      <c r="A25" s="50" t="s">
        <v>59</v>
      </c>
      <c r="B25" s="43">
        <v>3111759.6764799994</v>
      </c>
      <c r="C25" s="43">
        <v>1838578.632</v>
      </c>
      <c r="D25" s="94">
        <v>2233806.3995095002</v>
      </c>
      <c r="E25" s="43"/>
      <c r="F25" s="43"/>
      <c r="G25" s="43"/>
      <c r="H25" s="43"/>
      <c r="I25" s="43"/>
    </row>
    <row r="26" spans="1:9" ht="15.5" x14ac:dyDescent="0.35">
      <c r="A26" s="50" t="s">
        <v>60</v>
      </c>
      <c r="B26" s="43">
        <v>8960503.6600000001</v>
      </c>
      <c r="C26" s="43">
        <v>10913917.37338</v>
      </c>
      <c r="D26" s="93">
        <v>10533155.114530001</v>
      </c>
      <c r="E26" s="43"/>
      <c r="F26" s="43"/>
      <c r="G26" s="43"/>
      <c r="H26" s="43"/>
      <c r="I26" s="43"/>
    </row>
    <row r="27" spans="1:9" ht="15.5" x14ac:dyDescent="0.35">
      <c r="A27" s="50"/>
      <c r="B27" s="43" t="s">
        <v>50</v>
      </c>
      <c r="C27" s="43"/>
      <c r="D27" s="43"/>
      <c r="E27" s="43"/>
      <c r="F27" s="43"/>
      <c r="G27" s="43"/>
      <c r="H27" s="43"/>
      <c r="I27" s="43"/>
    </row>
    <row r="28" spans="1:9" ht="15.5" x14ac:dyDescent="0.35">
      <c r="A28" s="51" t="s">
        <v>61</v>
      </c>
      <c r="B28" s="52">
        <v>1414925.5525499936</v>
      </c>
      <c r="C28" s="52">
        <v>1144440.1773529984</v>
      </c>
      <c r="D28" s="52">
        <v>3566972.6655194908</v>
      </c>
      <c r="E28" s="52"/>
      <c r="F28" s="52"/>
      <c r="G28" s="52"/>
      <c r="H28" s="52"/>
      <c r="I28" s="52"/>
    </row>
    <row r="29" spans="1:9" ht="15.5" x14ac:dyDescent="0.35">
      <c r="A29" s="51"/>
      <c r="B29" s="43">
        <v>0</v>
      </c>
      <c r="C29" s="46">
        <v>0</v>
      </c>
      <c r="D29" s="43">
        <v>0</v>
      </c>
      <c r="E29" s="46"/>
      <c r="F29" s="46"/>
      <c r="G29" s="46"/>
      <c r="H29" s="46"/>
      <c r="I29" s="46"/>
    </row>
    <row r="30" spans="1:9" ht="15.5" x14ac:dyDescent="0.35">
      <c r="A30" s="50" t="s">
        <v>66</v>
      </c>
      <c r="B30" s="43">
        <v>400000</v>
      </c>
      <c r="C30" s="43">
        <v>717808.44900000002</v>
      </c>
      <c r="D30" s="93">
        <v>685483.223</v>
      </c>
      <c r="E30" s="43"/>
      <c r="F30" s="43"/>
      <c r="G30" s="43"/>
      <c r="H30" s="43"/>
      <c r="I30" s="43"/>
    </row>
    <row r="31" spans="1:9" ht="15.5" x14ac:dyDescent="0.35">
      <c r="A31" s="50"/>
      <c r="B31" s="43">
        <v>0</v>
      </c>
      <c r="C31" s="43">
        <v>0</v>
      </c>
      <c r="D31" s="43">
        <v>0</v>
      </c>
      <c r="E31" s="43"/>
      <c r="F31" s="43"/>
      <c r="G31" s="43"/>
      <c r="H31" s="43"/>
      <c r="I31" s="43"/>
    </row>
    <row r="32" spans="1:9" ht="16" thickBot="1" x14ac:dyDescent="0.4">
      <c r="A32" s="51" t="s">
        <v>67</v>
      </c>
      <c r="B32" s="60">
        <v>1014925.5525499936</v>
      </c>
      <c r="C32" s="60">
        <v>426631.72835299838</v>
      </c>
      <c r="D32" s="60">
        <v>2881489.4425194906</v>
      </c>
      <c r="E32" s="60"/>
      <c r="F32" s="60"/>
      <c r="G32" s="60"/>
      <c r="H32" s="60"/>
      <c r="I32" s="60"/>
    </row>
    <row r="33" spans="1:9" ht="15" thickTop="1" x14ac:dyDescent="0.35"/>
    <row r="35" spans="1:9" ht="15.5" x14ac:dyDescent="0.35">
      <c r="A35" s="40" t="s">
        <v>4</v>
      </c>
      <c r="B35" s="40"/>
      <c r="C35" s="40"/>
      <c r="D35" s="40"/>
      <c r="E35" s="40"/>
      <c r="F35" s="40"/>
      <c r="G35" s="40"/>
      <c r="H35" s="40"/>
      <c r="I35" s="40"/>
    </row>
    <row r="36" spans="1:9" ht="15.5" x14ac:dyDescent="0.35">
      <c r="A36" s="41" t="s">
        <v>13</v>
      </c>
      <c r="B36" s="40"/>
      <c r="C36" s="62"/>
      <c r="D36" s="40"/>
      <c r="E36" s="62"/>
      <c r="F36" s="62"/>
      <c r="G36" s="62"/>
      <c r="H36" s="62"/>
      <c r="I36" s="62"/>
    </row>
    <row r="37" spans="1:9" ht="15.5" x14ac:dyDescent="0.35">
      <c r="A37" s="40"/>
      <c r="B37" s="63"/>
      <c r="C37" s="64"/>
      <c r="D37" s="40"/>
      <c r="E37" s="64"/>
      <c r="F37" s="64"/>
      <c r="G37" s="64"/>
      <c r="H37" s="64"/>
      <c r="I37" s="64"/>
    </row>
    <row r="38" spans="1:9" ht="15.5" x14ac:dyDescent="0.35">
      <c r="A38" s="50" t="s">
        <v>69</v>
      </c>
      <c r="B38" s="43">
        <v>1645465.4939999999</v>
      </c>
      <c r="C38" s="43">
        <v>642940.14899999998</v>
      </c>
      <c r="D38" s="93">
        <v>305288.84413999936</v>
      </c>
      <c r="E38" s="43"/>
      <c r="F38" s="43"/>
      <c r="G38" s="43"/>
      <c r="H38" s="43"/>
      <c r="I38" s="43"/>
    </row>
    <row r="39" spans="1:9" ht="15.5" x14ac:dyDescent="0.35">
      <c r="A39" s="65" t="s">
        <v>71</v>
      </c>
      <c r="B39" s="43">
        <v>5628415.2563000005</v>
      </c>
      <c r="C39" s="49">
        <v>8926409.690299999</v>
      </c>
      <c r="D39" s="93">
        <f>15659606.53076</f>
        <v>15659606.53076</v>
      </c>
      <c r="E39" s="49"/>
      <c r="F39" s="49"/>
      <c r="G39" s="49"/>
      <c r="H39" s="49"/>
      <c r="I39" s="49"/>
    </row>
    <row r="40" spans="1:9" ht="15.5" x14ac:dyDescent="0.35">
      <c r="A40" s="50" t="s">
        <v>72</v>
      </c>
      <c r="B40" s="49">
        <v>28480397.206440002</v>
      </c>
      <c r="C40" s="49">
        <v>31996312.053580005</v>
      </c>
      <c r="D40" s="93">
        <v>39583237.452980004</v>
      </c>
      <c r="E40" s="49"/>
      <c r="F40" s="49"/>
      <c r="G40" s="49"/>
      <c r="H40" s="49"/>
      <c r="I40" s="49"/>
    </row>
    <row r="41" spans="1:9" ht="15.5" x14ac:dyDescent="0.35">
      <c r="A41" s="50" t="s">
        <v>70</v>
      </c>
      <c r="B41" s="43">
        <v>8012405.4370983997</v>
      </c>
      <c r="C41" s="49">
        <v>18523553.782098401</v>
      </c>
      <c r="D41" s="93">
        <v>14238583.427428398</v>
      </c>
      <c r="E41" s="49"/>
      <c r="F41" s="49"/>
      <c r="G41" s="49"/>
      <c r="H41" s="49"/>
      <c r="I41" s="49"/>
    </row>
    <row r="42" spans="1:9" ht="15.5" x14ac:dyDescent="0.35">
      <c r="A42" s="50" t="s">
        <v>73</v>
      </c>
      <c r="B42" s="43">
        <v>2029526.7755799999</v>
      </c>
      <c r="C42" s="49">
        <v>4713514.6285800003</v>
      </c>
      <c r="D42" s="93">
        <v>3731245.9199200002</v>
      </c>
      <c r="E42" s="49"/>
      <c r="F42" s="49"/>
      <c r="G42" s="49"/>
      <c r="H42" s="49"/>
      <c r="I42" s="49"/>
    </row>
    <row r="43" spans="1:9" ht="15.5" x14ac:dyDescent="0.35">
      <c r="A43" s="41" t="s">
        <v>68</v>
      </c>
      <c r="B43" s="66">
        <v>45796210.169418395</v>
      </c>
      <c r="C43" s="66">
        <v>64802730.303558409</v>
      </c>
      <c r="D43" s="66">
        <v>73517962.175228402</v>
      </c>
      <c r="E43" s="66"/>
      <c r="F43" s="66"/>
      <c r="G43" s="66"/>
      <c r="H43" s="66"/>
      <c r="I43" s="66"/>
    </row>
    <row r="44" spans="1:9" ht="15.5" x14ac:dyDescent="0.35">
      <c r="A44" s="41"/>
      <c r="B44" s="43"/>
      <c r="C44" s="49"/>
      <c r="D44" s="53"/>
      <c r="E44" s="49"/>
      <c r="F44" s="49"/>
      <c r="G44" s="49"/>
      <c r="H44" s="49"/>
      <c r="I44" s="49"/>
    </row>
    <row r="45" spans="1:9" ht="15.5" x14ac:dyDescent="0.35">
      <c r="A45" s="65" t="s">
        <v>71</v>
      </c>
      <c r="B45" s="43">
        <v>0</v>
      </c>
      <c r="C45" s="49">
        <v>0</v>
      </c>
      <c r="D45" s="93">
        <v>0</v>
      </c>
      <c r="E45" s="49"/>
      <c r="F45" s="49"/>
      <c r="G45" s="49"/>
      <c r="H45" s="49"/>
      <c r="I45" s="49"/>
    </row>
    <row r="46" spans="1:9" ht="15.5" x14ac:dyDescent="0.35">
      <c r="A46" s="50" t="s">
        <v>74</v>
      </c>
      <c r="B46" s="43">
        <v>16737065.702829998</v>
      </c>
      <c r="C46" s="43">
        <v>17339452.500830002</v>
      </c>
      <c r="D46" s="93">
        <v>15861674.278940007</v>
      </c>
      <c r="E46" s="43"/>
      <c r="F46" s="43"/>
      <c r="G46" s="43"/>
      <c r="H46" s="43"/>
      <c r="I46" s="43"/>
    </row>
    <row r="47" spans="1:9" ht="15.5" x14ac:dyDescent="0.35">
      <c r="A47" s="50" t="s">
        <v>75</v>
      </c>
      <c r="B47" s="43"/>
      <c r="C47" s="43"/>
      <c r="D47" s="93"/>
      <c r="E47" s="43"/>
      <c r="F47" s="43"/>
      <c r="G47" s="43"/>
      <c r="H47" s="43"/>
      <c r="I47" s="43"/>
    </row>
    <row r="48" spans="1:9" ht="15.5" x14ac:dyDescent="0.35">
      <c r="A48" s="50" t="s">
        <v>76</v>
      </c>
      <c r="B48" s="43">
        <v>3501750.04</v>
      </c>
      <c r="C48" s="49">
        <v>10251750.039999999</v>
      </c>
      <c r="D48" s="93">
        <v>11807194.467</v>
      </c>
      <c r="E48" s="49"/>
      <c r="F48" s="49"/>
      <c r="G48" s="49"/>
      <c r="H48" s="49"/>
      <c r="I48" s="49"/>
    </row>
    <row r="49" spans="1:9" ht="15.5" x14ac:dyDescent="0.35">
      <c r="A49" s="41" t="s">
        <v>77</v>
      </c>
      <c r="B49" s="52">
        <v>20238815.742829997</v>
      </c>
      <c r="C49" s="66">
        <v>27591202.540830001</v>
      </c>
      <c r="D49" s="52">
        <v>27668868.745940007</v>
      </c>
      <c r="E49" s="66"/>
      <c r="F49" s="66"/>
      <c r="G49" s="66"/>
      <c r="H49" s="66"/>
      <c r="I49" s="66"/>
    </row>
    <row r="50" spans="1:9" ht="15.5" x14ac:dyDescent="0.35">
      <c r="A50" s="41"/>
      <c r="B50" s="43"/>
      <c r="C50" s="49"/>
      <c r="D50" s="53"/>
      <c r="E50" s="49"/>
      <c r="F50" s="49"/>
      <c r="G50" s="49"/>
      <c r="H50" s="49"/>
      <c r="I50" s="49"/>
    </row>
    <row r="51" spans="1:9" ht="15.5" x14ac:dyDescent="0.35">
      <c r="A51" s="41" t="s">
        <v>78</v>
      </c>
      <c r="B51" s="43">
        <v>10208552.654999999</v>
      </c>
      <c r="C51" s="49">
        <v>10208552.654999999</v>
      </c>
      <c r="D51" s="93">
        <v>8653108.2280000001</v>
      </c>
      <c r="E51" s="49"/>
      <c r="F51" s="49"/>
      <c r="G51" s="49"/>
      <c r="H51" s="49"/>
      <c r="I51" s="49"/>
    </row>
    <row r="52" spans="1:9" ht="15.5" x14ac:dyDescent="0.35">
      <c r="A52" s="41"/>
      <c r="B52" s="43"/>
      <c r="C52" s="49"/>
      <c r="D52" s="43"/>
      <c r="E52" s="49"/>
      <c r="F52" s="49"/>
      <c r="G52" s="49"/>
      <c r="H52" s="49"/>
      <c r="I52" s="49"/>
    </row>
    <row r="53" spans="1:9" ht="16" thickBot="1" x14ac:dyDescent="0.4">
      <c r="A53" s="41" t="s">
        <v>79</v>
      </c>
      <c r="B53" s="60">
        <v>76243578.567248389</v>
      </c>
      <c r="C53" s="67">
        <v>102602485.49938841</v>
      </c>
      <c r="D53" s="60">
        <v>109839939.14916842</v>
      </c>
      <c r="E53" s="67"/>
      <c r="F53" s="67"/>
      <c r="G53" s="67"/>
      <c r="H53" s="67"/>
      <c r="I53" s="67"/>
    </row>
    <row r="54" spans="1:9" ht="16" thickTop="1" x14ac:dyDescent="0.35">
      <c r="A54" s="68"/>
      <c r="B54" s="43"/>
      <c r="C54" s="49"/>
      <c r="D54" s="43"/>
      <c r="E54" s="49"/>
      <c r="F54" s="49"/>
      <c r="G54" s="49"/>
      <c r="H54" s="49"/>
      <c r="I54" s="49"/>
    </row>
    <row r="55" spans="1:9" ht="15.5" x14ac:dyDescent="0.35">
      <c r="A55" s="40"/>
      <c r="B55" s="53"/>
      <c r="C55" s="53"/>
      <c r="D55" s="53"/>
      <c r="E55" s="53"/>
      <c r="F55" s="53"/>
      <c r="G55" s="53"/>
      <c r="H55" s="53"/>
      <c r="I55" s="53"/>
    </row>
    <row r="56" spans="1:9" ht="15.5" x14ac:dyDescent="0.35">
      <c r="A56" s="41" t="s">
        <v>80</v>
      </c>
      <c r="B56" s="48"/>
      <c r="C56" s="49"/>
      <c r="D56" s="69"/>
      <c r="E56" s="49"/>
      <c r="F56" s="49"/>
      <c r="G56" s="49"/>
      <c r="H56" s="49"/>
      <c r="I56" s="49"/>
    </row>
    <row r="57" spans="1:9" ht="15.5" x14ac:dyDescent="0.35">
      <c r="A57" s="70"/>
      <c r="B57" s="48"/>
      <c r="C57" s="49"/>
      <c r="D57" s="47"/>
      <c r="E57" s="49"/>
      <c r="F57" s="49"/>
      <c r="G57" s="49"/>
      <c r="H57" s="49"/>
      <c r="I57" s="49"/>
    </row>
    <row r="58" spans="1:9" ht="15.5" x14ac:dyDescent="0.35">
      <c r="A58" s="62" t="s">
        <v>81</v>
      </c>
      <c r="B58" s="43">
        <v>5227706.5881308466</v>
      </c>
      <c r="C58" s="49">
        <v>2432085.2220000001</v>
      </c>
      <c r="D58" s="93">
        <v>20627.804</v>
      </c>
      <c r="E58" s="49"/>
      <c r="F58" s="49"/>
      <c r="G58" s="49"/>
      <c r="H58" s="49"/>
      <c r="I58" s="49"/>
    </row>
    <row r="59" spans="1:9" ht="15.5" x14ac:dyDescent="0.35">
      <c r="A59" s="62" t="s">
        <v>82</v>
      </c>
      <c r="B59" s="43">
        <v>4822503.8218899993</v>
      </c>
      <c r="C59" s="49">
        <v>10388665.346889999</v>
      </c>
      <c r="D59" s="93">
        <v>11149368.063720001</v>
      </c>
      <c r="E59" s="49"/>
      <c r="F59" s="49"/>
      <c r="G59" s="49"/>
      <c r="H59" s="49"/>
      <c r="I59" s="49"/>
    </row>
    <row r="60" spans="1:9" ht="15.5" x14ac:dyDescent="0.35">
      <c r="A60" s="62" t="s">
        <v>83</v>
      </c>
      <c r="B60" s="43">
        <v>23943754.917098399</v>
      </c>
      <c r="C60" s="49">
        <v>30010174.645098399</v>
      </c>
      <c r="D60" s="93">
        <v>31211816.486098405</v>
      </c>
      <c r="E60" s="49"/>
      <c r="F60" s="49"/>
      <c r="G60" s="49"/>
      <c r="H60" s="49"/>
      <c r="I60" s="49"/>
    </row>
    <row r="61" spans="1:9" ht="15.5" x14ac:dyDescent="0.35">
      <c r="A61" s="62" t="s">
        <v>84</v>
      </c>
      <c r="B61" s="43">
        <v>1186162.6724400001</v>
      </c>
      <c r="C61" s="49">
        <v>2847920.7544400003</v>
      </c>
      <c r="D61" s="93">
        <v>4105531.69001</v>
      </c>
      <c r="E61" s="49"/>
      <c r="F61" s="49"/>
      <c r="G61" s="49"/>
      <c r="H61" s="49"/>
      <c r="I61" s="49"/>
    </row>
    <row r="62" spans="1:9" ht="15.5" x14ac:dyDescent="0.35">
      <c r="A62" s="62" t="s">
        <v>85</v>
      </c>
      <c r="B62" s="43">
        <v>772201.77715999994</v>
      </c>
      <c r="C62" s="49">
        <v>569639.67015999986</v>
      </c>
      <c r="D62" s="93">
        <v>515593.25194999983</v>
      </c>
      <c r="E62" s="49"/>
      <c r="F62" s="49"/>
      <c r="G62" s="49"/>
      <c r="H62" s="49"/>
      <c r="I62" s="49"/>
    </row>
    <row r="63" spans="1:9" ht="15.5" x14ac:dyDescent="0.35">
      <c r="A63" s="62" t="s">
        <v>86</v>
      </c>
      <c r="B63" s="43">
        <v>21320.622520000001</v>
      </c>
      <c r="C63" s="49">
        <v>629773.37352000002</v>
      </c>
      <c r="D63" s="93">
        <v>3841492.4539999999</v>
      </c>
      <c r="E63" s="49"/>
      <c r="F63" s="49"/>
      <c r="G63" s="49"/>
      <c r="H63" s="49"/>
      <c r="I63" s="49"/>
    </row>
    <row r="64" spans="1:9" ht="15.5" x14ac:dyDescent="0.35">
      <c r="A64" s="70" t="s">
        <v>87</v>
      </c>
      <c r="B64" s="52">
        <v>35973650.399239242</v>
      </c>
      <c r="C64" s="52">
        <v>46878259.0121084</v>
      </c>
      <c r="D64" s="52">
        <v>50844429.749778405</v>
      </c>
      <c r="E64" s="52"/>
      <c r="F64" s="52"/>
      <c r="G64" s="52"/>
      <c r="H64" s="52"/>
      <c r="I64" s="52"/>
    </row>
    <row r="65" spans="1:9" ht="15.5" x14ac:dyDescent="0.35">
      <c r="A65" s="70"/>
      <c r="B65" s="71"/>
      <c r="C65" s="72"/>
      <c r="D65" s="73"/>
      <c r="E65" s="72"/>
      <c r="F65" s="72"/>
      <c r="G65" s="72"/>
      <c r="H65" s="72"/>
      <c r="I65" s="72"/>
    </row>
    <row r="66" spans="1:9" ht="15.5" x14ac:dyDescent="0.35">
      <c r="A66" s="74" t="s">
        <v>88</v>
      </c>
      <c r="B66" s="72">
        <v>2824073.2384456042</v>
      </c>
      <c r="C66" s="72">
        <v>10247807.887</v>
      </c>
      <c r="D66" s="107">
        <v>13706155.57966</v>
      </c>
      <c r="E66" s="72"/>
      <c r="F66" s="72"/>
      <c r="G66" s="72"/>
      <c r="H66" s="72"/>
      <c r="I66" s="72"/>
    </row>
    <row r="67" spans="1:9" ht="15.5" x14ac:dyDescent="0.35">
      <c r="A67" s="70"/>
      <c r="B67" s="43"/>
      <c r="C67" s="49"/>
      <c r="D67" s="43"/>
      <c r="E67" s="49"/>
      <c r="F67" s="49"/>
      <c r="G67" s="49"/>
      <c r="H67" s="49"/>
      <c r="I67" s="49"/>
    </row>
    <row r="68" spans="1:9" ht="15.5" x14ac:dyDescent="0.35">
      <c r="A68" s="62" t="s">
        <v>89</v>
      </c>
      <c r="B68" s="43">
        <v>469587.52899999998</v>
      </c>
      <c r="C68" s="49">
        <v>481736.40899999999</v>
      </c>
      <c r="D68" s="93">
        <v>3728210.0980000002</v>
      </c>
      <c r="E68" s="49"/>
      <c r="F68" s="49"/>
      <c r="G68" s="49"/>
      <c r="H68" s="49"/>
      <c r="I68" s="49"/>
    </row>
    <row r="69" spans="1:9" ht="15.5" x14ac:dyDescent="0.35">
      <c r="A69" s="62" t="s">
        <v>14</v>
      </c>
      <c r="B69" s="43">
        <v>532968.52500000002</v>
      </c>
      <c r="C69" s="49"/>
      <c r="D69" s="93"/>
      <c r="E69" s="49"/>
      <c r="F69" s="49"/>
      <c r="G69" s="49"/>
      <c r="H69" s="49"/>
      <c r="I69" s="49"/>
    </row>
    <row r="70" spans="1:9" ht="15.5" x14ac:dyDescent="0.35">
      <c r="A70" s="62" t="s">
        <v>82</v>
      </c>
      <c r="B70" s="43">
        <v>3255946.2940000002</v>
      </c>
      <c r="C70" s="49">
        <v>1860521.486</v>
      </c>
      <c r="D70" s="93">
        <v>0</v>
      </c>
      <c r="E70" s="49"/>
      <c r="F70" s="49"/>
      <c r="G70" s="49"/>
      <c r="H70" s="49"/>
      <c r="I70" s="49"/>
    </row>
    <row r="71" spans="1:9" ht="15.5" x14ac:dyDescent="0.35">
      <c r="A71" s="50" t="s">
        <v>90</v>
      </c>
      <c r="B71" s="43">
        <v>-166079.62899999999</v>
      </c>
      <c r="C71" s="49">
        <v>242501.21400000001</v>
      </c>
      <c r="D71" s="93">
        <v>0</v>
      </c>
      <c r="E71" s="49"/>
      <c r="F71" s="49"/>
      <c r="G71" s="49"/>
      <c r="H71" s="49"/>
      <c r="I71" s="49"/>
    </row>
    <row r="72" spans="1:9" ht="15.5" x14ac:dyDescent="0.35">
      <c r="A72" s="50" t="s">
        <v>84</v>
      </c>
      <c r="B72" s="43">
        <v>2236796.588</v>
      </c>
      <c r="C72" s="49">
        <v>1679073.5390000001</v>
      </c>
      <c r="D72" s="93">
        <v>0</v>
      </c>
      <c r="E72" s="49"/>
      <c r="F72" s="49"/>
      <c r="G72" s="49"/>
      <c r="H72" s="49"/>
      <c r="I72" s="49"/>
    </row>
    <row r="73" spans="1:9" ht="15.5" x14ac:dyDescent="0.35">
      <c r="A73" s="50" t="s">
        <v>85</v>
      </c>
      <c r="B73" s="43">
        <v>1173110.1340000001</v>
      </c>
      <c r="C73" s="49">
        <v>890113.83299999998</v>
      </c>
      <c r="D73" s="93">
        <v>0</v>
      </c>
      <c r="E73" s="49"/>
      <c r="F73" s="49"/>
      <c r="G73" s="49"/>
      <c r="H73" s="49"/>
      <c r="I73" s="49"/>
    </row>
    <row r="74" spans="1:9" ht="15.5" x14ac:dyDescent="0.35">
      <c r="A74" s="41" t="s">
        <v>91</v>
      </c>
      <c r="B74" s="52">
        <v>7502329.4409999996</v>
      </c>
      <c r="C74" s="66">
        <v>5153946.4809999997</v>
      </c>
      <c r="D74" s="52">
        <v>3728210.0980000002</v>
      </c>
      <c r="E74" s="66"/>
      <c r="F74" s="66"/>
      <c r="G74" s="66"/>
      <c r="H74" s="66"/>
      <c r="I74" s="66"/>
    </row>
    <row r="75" spans="1:9" ht="15.5" x14ac:dyDescent="0.35">
      <c r="A75" s="41"/>
      <c r="B75" s="43"/>
      <c r="C75" s="49"/>
      <c r="D75" s="75"/>
      <c r="E75" s="49"/>
      <c r="F75" s="49"/>
      <c r="G75" s="49"/>
      <c r="H75" s="49"/>
      <c r="I75" s="49"/>
    </row>
    <row r="76" spans="1:9" ht="15.5" x14ac:dyDescent="0.35">
      <c r="A76" s="41" t="s">
        <v>92</v>
      </c>
      <c r="B76" s="52">
        <v>46300053.078684844</v>
      </c>
      <c r="C76" s="66">
        <v>62280013.380108401</v>
      </c>
      <c r="D76" s="66">
        <v>68278795.427438408</v>
      </c>
      <c r="E76" s="66"/>
      <c r="F76" s="66"/>
      <c r="G76" s="66"/>
      <c r="H76" s="66"/>
      <c r="I76" s="66"/>
    </row>
    <row r="77" spans="1:9" ht="15.5" x14ac:dyDescent="0.35">
      <c r="A77" s="40"/>
      <c r="B77" s="43"/>
      <c r="C77" s="49"/>
      <c r="D77" s="43"/>
      <c r="E77" s="49"/>
      <c r="F77" s="49"/>
      <c r="G77" s="49"/>
      <c r="H77" s="49"/>
      <c r="I77" s="49"/>
    </row>
    <row r="78" spans="1:9" ht="15.5" x14ac:dyDescent="0.35">
      <c r="A78" s="41" t="s">
        <v>15</v>
      </c>
      <c r="B78" s="43"/>
      <c r="C78" s="49"/>
      <c r="D78" s="43"/>
      <c r="E78" s="49"/>
      <c r="F78" s="49"/>
      <c r="G78" s="49"/>
      <c r="H78" s="49"/>
      <c r="I78" s="49"/>
    </row>
    <row r="79" spans="1:9" ht="15.5" x14ac:dyDescent="0.35">
      <c r="A79" s="41"/>
      <c r="B79" s="43"/>
      <c r="C79" s="49"/>
      <c r="D79" s="43"/>
      <c r="E79" s="49"/>
      <c r="F79" s="49"/>
      <c r="G79" s="49"/>
      <c r="H79" s="49"/>
      <c r="I79" s="49"/>
    </row>
    <row r="80" spans="1:9" ht="15.5" x14ac:dyDescent="0.35">
      <c r="A80" s="50" t="s">
        <v>16</v>
      </c>
      <c r="B80" s="43">
        <v>11572953.384</v>
      </c>
      <c r="C80" s="49">
        <v>11638626.426999999</v>
      </c>
      <c r="D80" s="93">
        <v>11091142.093</v>
      </c>
      <c r="E80" s="49"/>
      <c r="F80" s="49"/>
      <c r="G80" s="49"/>
      <c r="H80" s="49"/>
      <c r="I80" s="49"/>
    </row>
    <row r="81" spans="1:9" ht="15.5" x14ac:dyDescent="0.35">
      <c r="A81" s="50" t="s">
        <v>17</v>
      </c>
      <c r="B81" s="43">
        <v>5553097.8789999997</v>
      </c>
      <c r="C81" s="49">
        <v>5553097.8789999997</v>
      </c>
      <c r="D81" s="93">
        <v>5988067.9752412997</v>
      </c>
      <c r="E81" s="49"/>
      <c r="F81" s="49"/>
      <c r="G81" s="49"/>
      <c r="H81" s="49"/>
      <c r="I81" s="49"/>
    </row>
    <row r="82" spans="1:9" ht="15.5" x14ac:dyDescent="0.35">
      <c r="A82" s="50" t="s">
        <v>108</v>
      </c>
      <c r="B82" s="43">
        <v>2239473.338</v>
      </c>
      <c r="C82" s="49">
        <v>2239476.9130000002</v>
      </c>
      <c r="D82" s="93">
        <v>2239476.9130000002</v>
      </c>
      <c r="E82" s="49"/>
      <c r="F82" s="49"/>
      <c r="G82" s="49"/>
      <c r="H82" s="49"/>
      <c r="I82" s="49"/>
    </row>
    <row r="83" spans="1:9" ht="15.5" x14ac:dyDescent="0.35">
      <c r="A83" s="50" t="s">
        <v>109</v>
      </c>
      <c r="B83" s="43">
        <v>1014925.5525500012</v>
      </c>
      <c r="C83" s="49">
        <v>426632.01541299821</v>
      </c>
      <c r="D83" s="93">
        <v>2881489.4425194906</v>
      </c>
      <c r="E83" s="49"/>
      <c r="F83" s="49"/>
      <c r="G83" s="49"/>
      <c r="H83" s="49"/>
      <c r="I83" s="49"/>
    </row>
    <row r="84" spans="1:9" ht="15.5" x14ac:dyDescent="0.35">
      <c r="A84" s="50" t="s">
        <v>110</v>
      </c>
      <c r="B84" s="43">
        <v>-12147506.049109999</v>
      </c>
      <c r="C84" s="49">
        <v>-7995942.12916</v>
      </c>
      <c r="D84" s="93">
        <v>-9099613.6470583007</v>
      </c>
      <c r="E84" s="49"/>
      <c r="F84" s="49"/>
      <c r="G84" s="49"/>
      <c r="H84" s="49"/>
      <c r="I84" s="49"/>
    </row>
    <row r="85" spans="1:9" ht="15.5" x14ac:dyDescent="0.35">
      <c r="A85" s="50" t="s">
        <v>18</v>
      </c>
      <c r="B85" s="43">
        <v>11502028.729</v>
      </c>
      <c r="C85" s="49">
        <v>18252028.728999998</v>
      </c>
      <c r="D85" s="93">
        <v>19807473.195999999</v>
      </c>
      <c r="E85" s="49"/>
      <c r="F85" s="49"/>
      <c r="G85" s="49"/>
      <c r="H85" s="49"/>
      <c r="I85" s="49"/>
    </row>
    <row r="86" spans="1:9" ht="15.5" x14ac:dyDescent="0.35">
      <c r="A86" s="50" t="s">
        <v>111</v>
      </c>
      <c r="B86" s="43">
        <v>10208552.654999999</v>
      </c>
      <c r="C86" s="49">
        <v>10208552.654999999</v>
      </c>
      <c r="D86" s="93">
        <v>8653108.2280000001</v>
      </c>
      <c r="E86" s="49"/>
      <c r="F86" s="49"/>
      <c r="G86" s="49"/>
      <c r="H86" s="49"/>
      <c r="I86" s="49"/>
    </row>
    <row r="87" spans="1:9" ht="15.5" x14ac:dyDescent="0.35">
      <c r="A87" s="41" t="s">
        <v>112</v>
      </c>
      <c r="B87" s="52">
        <v>29943525.488440007</v>
      </c>
      <c r="C87" s="66">
        <v>40322472.489252992</v>
      </c>
      <c r="D87" s="52">
        <v>41561144.200702488</v>
      </c>
      <c r="E87" s="66"/>
      <c r="F87" s="66"/>
      <c r="G87" s="66"/>
      <c r="H87" s="66"/>
      <c r="I87" s="66"/>
    </row>
    <row r="88" spans="1:9" ht="15.5" x14ac:dyDescent="0.35">
      <c r="A88" s="41"/>
      <c r="B88" s="43"/>
      <c r="C88" s="49"/>
      <c r="D88" s="43"/>
      <c r="E88" s="49"/>
      <c r="F88" s="49"/>
      <c r="G88" s="49"/>
      <c r="H88" s="49"/>
      <c r="I88" s="49"/>
    </row>
    <row r="89" spans="1:9" ht="15.5" x14ac:dyDescent="0.35">
      <c r="A89" s="41" t="s">
        <v>113</v>
      </c>
      <c r="B89" s="77">
        <v>76243578.567124844</v>
      </c>
      <c r="C89" s="77">
        <v>102602485.8693614</v>
      </c>
      <c r="D89" s="76">
        <v>109839939.6281409</v>
      </c>
      <c r="E89" s="77"/>
      <c r="F89" s="77"/>
      <c r="G89" s="77"/>
      <c r="H89" s="77"/>
      <c r="I89" s="77"/>
    </row>
    <row r="90" spans="1:9" ht="15.5" x14ac:dyDescent="0.35">
      <c r="A90" s="40"/>
      <c r="B90" s="42"/>
      <c r="C90" s="78"/>
      <c r="D90" s="42"/>
      <c r="E90" s="78"/>
      <c r="F90" s="78"/>
      <c r="G90" s="78"/>
      <c r="H90" s="78"/>
      <c r="I90" s="78"/>
    </row>
    <row r="91" spans="1:9" ht="15.5" x14ac:dyDescent="0.35">
      <c r="A91" s="41" t="s">
        <v>4</v>
      </c>
      <c r="B91" s="79"/>
      <c r="C91" s="79"/>
      <c r="D91" s="79"/>
      <c r="E91" s="79"/>
      <c r="F91" s="79"/>
      <c r="G91" s="79"/>
      <c r="H91" s="79"/>
      <c r="I91" s="79"/>
    </row>
    <row r="96" spans="1:9" ht="15.5" x14ac:dyDescent="0.35">
      <c r="A96" s="81"/>
      <c r="B96" s="39"/>
    </row>
    <row r="97" spans="1:9" ht="15.5" x14ac:dyDescent="0.35">
      <c r="A97" s="81"/>
      <c r="B97" s="39"/>
    </row>
    <row r="98" spans="1:9" ht="15.5" x14ac:dyDescent="0.35">
      <c r="A98" s="82" t="s">
        <v>130</v>
      </c>
      <c r="B98" s="49"/>
      <c r="C98" s="49"/>
      <c r="D98" s="49"/>
      <c r="E98" s="49"/>
      <c r="F98" s="49"/>
      <c r="G98" s="49"/>
      <c r="H98" s="49"/>
      <c r="I98" s="49"/>
    </row>
    <row r="99" spans="1:9" ht="15.5" x14ac:dyDescent="0.35">
      <c r="A99" s="96" t="s">
        <v>126</v>
      </c>
      <c r="B99" s="49"/>
      <c r="C99" s="49"/>
      <c r="D99" s="49"/>
      <c r="E99" s="49"/>
      <c r="F99" s="49"/>
      <c r="G99" s="49"/>
      <c r="H99" s="49"/>
      <c r="I99" s="49"/>
    </row>
    <row r="100" spans="1:9" ht="15.5" x14ac:dyDescent="0.35">
      <c r="A100" s="83" t="s">
        <v>127</v>
      </c>
      <c r="B100" s="49"/>
      <c r="C100" s="49"/>
      <c r="D100" s="49"/>
      <c r="E100" s="49"/>
      <c r="F100" s="49"/>
      <c r="G100" s="49"/>
      <c r="H100" s="49"/>
      <c r="I100" s="49"/>
    </row>
    <row r="101" spans="1:9" ht="15.5" x14ac:dyDescent="0.35">
      <c r="A101" s="97" t="s">
        <v>57</v>
      </c>
      <c r="B101" s="49"/>
      <c r="C101" s="49"/>
      <c r="D101" s="49"/>
      <c r="E101" s="49"/>
      <c r="F101" s="49"/>
      <c r="G101" s="49"/>
      <c r="H101" s="49"/>
      <c r="I101" s="49"/>
    </row>
    <row r="102" spans="1:9" ht="15.5" x14ac:dyDescent="0.35">
      <c r="A102" s="97" t="s">
        <v>128</v>
      </c>
      <c r="B102" s="49"/>
      <c r="C102" s="49"/>
      <c r="D102" s="49"/>
      <c r="E102" s="49"/>
      <c r="F102" s="49"/>
      <c r="G102" s="49"/>
      <c r="H102" s="49"/>
      <c r="I102" s="49"/>
    </row>
    <row r="103" spans="1:9" ht="15.5" x14ac:dyDescent="0.35">
      <c r="A103" s="86" t="s">
        <v>129</v>
      </c>
      <c r="B103" s="100"/>
      <c r="C103" s="100"/>
      <c r="D103" s="100"/>
      <c r="E103" s="100"/>
      <c r="F103" s="100"/>
      <c r="G103" s="100"/>
      <c r="H103" s="100"/>
      <c r="I103" s="100"/>
    </row>
    <row r="104" spans="1:9" ht="15.5" x14ac:dyDescent="0.35">
      <c r="A104" s="87"/>
      <c r="B104" s="49"/>
      <c r="C104" s="49"/>
      <c r="D104" s="49"/>
      <c r="E104" s="49"/>
      <c r="F104" s="49"/>
      <c r="G104" s="49"/>
      <c r="H104" s="49"/>
      <c r="I104" s="49"/>
    </row>
    <row r="105" spans="1:9" ht="15.5" x14ac:dyDescent="0.35">
      <c r="A105" s="83" t="s">
        <v>131</v>
      </c>
      <c r="B105" s="49"/>
      <c r="C105" s="49"/>
      <c r="D105" s="49"/>
      <c r="E105" s="49"/>
      <c r="F105" s="49"/>
      <c r="G105" s="49"/>
      <c r="H105" s="49"/>
      <c r="I105" s="49"/>
    </row>
    <row r="106" spans="1:9" ht="15.5" x14ac:dyDescent="0.35">
      <c r="A106" s="98" t="s">
        <v>132</v>
      </c>
      <c r="B106" s="49"/>
      <c r="C106" s="49"/>
      <c r="D106" s="49"/>
      <c r="E106" s="49"/>
      <c r="F106" s="49"/>
      <c r="G106" s="49"/>
      <c r="H106" s="49"/>
      <c r="I106" s="49"/>
    </row>
    <row r="107" spans="1:9" ht="15.5" x14ac:dyDescent="0.35">
      <c r="A107" s="98" t="s">
        <v>133</v>
      </c>
      <c r="B107" s="49"/>
      <c r="C107" s="49"/>
      <c r="D107" s="49"/>
      <c r="E107" s="49"/>
      <c r="F107" s="49"/>
      <c r="G107" s="49"/>
      <c r="H107" s="49"/>
      <c r="I107" s="49"/>
    </row>
    <row r="108" spans="1:9" ht="15.5" x14ac:dyDescent="0.35">
      <c r="A108" s="98" t="s">
        <v>134</v>
      </c>
      <c r="B108" s="49"/>
      <c r="C108" s="49"/>
      <c r="D108" s="49"/>
      <c r="E108" s="49"/>
      <c r="F108" s="49"/>
      <c r="G108" s="49"/>
      <c r="H108" s="49"/>
      <c r="I108" s="49"/>
    </row>
    <row r="109" spans="1:9" ht="15.5" x14ac:dyDescent="0.35">
      <c r="A109" s="83"/>
      <c r="B109" s="49"/>
      <c r="C109" s="49"/>
      <c r="D109" s="49"/>
      <c r="E109" s="49"/>
      <c r="F109" s="49"/>
      <c r="G109" s="49"/>
      <c r="H109" s="49"/>
      <c r="I109" s="49"/>
    </row>
    <row r="110" spans="1:9" ht="15.5" x14ac:dyDescent="0.35">
      <c r="A110" s="83" t="s">
        <v>114</v>
      </c>
      <c r="B110" s="49"/>
      <c r="C110" s="49"/>
      <c r="D110" s="49"/>
      <c r="E110" s="49"/>
      <c r="F110" s="49"/>
      <c r="G110" s="49"/>
      <c r="H110" s="49"/>
      <c r="I110" s="49"/>
    </row>
    <row r="111" spans="1:9" ht="15.5" x14ac:dyDescent="0.35">
      <c r="A111" s="98" t="s">
        <v>136</v>
      </c>
      <c r="B111" s="49"/>
      <c r="C111" s="49"/>
      <c r="D111" s="49"/>
      <c r="E111" s="49"/>
      <c r="F111" s="49"/>
      <c r="G111" s="49"/>
      <c r="H111" s="49"/>
      <c r="I111" s="49"/>
    </row>
    <row r="112" spans="1:9" ht="15.5" x14ac:dyDescent="0.35">
      <c r="A112" s="98" t="s">
        <v>135</v>
      </c>
      <c r="B112" s="49"/>
      <c r="C112" s="49"/>
      <c r="D112" s="49"/>
      <c r="E112" s="49"/>
      <c r="F112" s="49"/>
      <c r="G112" s="49"/>
      <c r="H112" s="49"/>
      <c r="I112" s="49"/>
    </row>
    <row r="113" spans="1:9" ht="15.5" x14ac:dyDescent="0.35">
      <c r="A113" s="98" t="s">
        <v>139</v>
      </c>
      <c r="B113" s="49"/>
      <c r="C113" s="49"/>
      <c r="D113" s="49"/>
      <c r="E113" s="49"/>
      <c r="F113" s="49"/>
      <c r="G113" s="49"/>
      <c r="H113" s="49"/>
      <c r="I113" s="49"/>
    </row>
    <row r="114" spans="1:9" ht="15.5" x14ac:dyDescent="0.35">
      <c r="A114" s="98" t="s">
        <v>138</v>
      </c>
      <c r="B114" s="49"/>
      <c r="C114" s="49"/>
      <c r="D114" s="49"/>
      <c r="E114" s="49"/>
      <c r="F114" s="49"/>
      <c r="G114" s="49"/>
      <c r="H114" s="49"/>
      <c r="I114" s="49"/>
    </row>
    <row r="115" spans="1:9" ht="15.5" x14ac:dyDescent="0.35">
      <c r="A115" s="98" t="s">
        <v>137</v>
      </c>
      <c r="B115" s="49"/>
      <c r="C115" s="49"/>
      <c r="D115" s="49"/>
      <c r="E115" s="49"/>
      <c r="F115" s="49"/>
      <c r="G115" s="49"/>
      <c r="H115" s="49"/>
      <c r="I115" s="49"/>
    </row>
    <row r="116" spans="1:9" ht="15.5" x14ac:dyDescent="0.35">
      <c r="A116" s="84"/>
      <c r="B116" s="49"/>
      <c r="C116" s="49"/>
      <c r="D116" s="49"/>
      <c r="E116" s="49"/>
      <c r="F116" s="49"/>
      <c r="G116" s="49"/>
      <c r="H116" s="49"/>
      <c r="I116" s="49"/>
    </row>
    <row r="117" spans="1:9" ht="15.5" x14ac:dyDescent="0.35">
      <c r="A117" s="83" t="s">
        <v>115</v>
      </c>
      <c r="B117" s="49"/>
      <c r="C117" s="49"/>
      <c r="D117" s="49"/>
      <c r="E117" s="49"/>
      <c r="F117" s="49"/>
      <c r="G117" s="49"/>
      <c r="H117" s="49"/>
      <c r="I117" s="49"/>
    </row>
    <row r="118" spans="1:9" ht="15.5" x14ac:dyDescent="0.35">
      <c r="A118" s="98" t="s">
        <v>136</v>
      </c>
      <c r="B118" s="49"/>
      <c r="C118" s="49"/>
      <c r="D118" s="49"/>
      <c r="E118" s="49"/>
      <c r="F118" s="49"/>
      <c r="G118" s="49"/>
      <c r="H118" s="49"/>
      <c r="I118" s="49"/>
    </row>
    <row r="119" spans="1:9" ht="15.5" x14ac:dyDescent="0.35">
      <c r="A119" s="98" t="s">
        <v>135</v>
      </c>
      <c r="B119" s="49"/>
      <c r="C119" s="49"/>
      <c r="D119" s="49"/>
      <c r="E119" s="49"/>
      <c r="F119" s="49"/>
      <c r="G119" s="49"/>
      <c r="H119" s="49"/>
      <c r="I119" s="49"/>
    </row>
    <row r="120" spans="1:9" ht="15.5" x14ac:dyDescent="0.35">
      <c r="A120" s="98" t="s">
        <v>140</v>
      </c>
      <c r="B120" s="49"/>
      <c r="C120" s="49"/>
      <c r="D120" s="49"/>
      <c r="E120" s="49"/>
      <c r="F120" s="49"/>
      <c r="G120" s="49"/>
      <c r="H120" s="49"/>
      <c r="I120" s="49"/>
    </row>
    <row r="121" spans="1:9" ht="15.5" x14ac:dyDescent="0.35">
      <c r="A121" s="98" t="s">
        <v>125</v>
      </c>
      <c r="B121" s="49"/>
      <c r="C121" s="49"/>
      <c r="D121" s="49"/>
      <c r="E121" s="49"/>
      <c r="F121" s="49"/>
      <c r="G121" s="49"/>
      <c r="H121" s="49"/>
      <c r="I121" s="49"/>
    </row>
    <row r="122" spans="1:9" ht="15.5" x14ac:dyDescent="0.35">
      <c r="A122" s="84"/>
      <c r="B122" s="49"/>
      <c r="C122" s="49"/>
      <c r="D122" s="49"/>
      <c r="E122" s="49"/>
      <c r="F122" s="49"/>
      <c r="G122" s="49"/>
      <c r="H122" s="49"/>
      <c r="I122" s="49"/>
    </row>
    <row r="123" spans="1:9" ht="15.5" x14ac:dyDescent="0.35">
      <c r="A123" s="82" t="s">
        <v>116</v>
      </c>
      <c r="B123" s="49"/>
      <c r="C123" s="49"/>
      <c r="D123" s="49"/>
      <c r="E123" s="49"/>
      <c r="F123" s="49"/>
      <c r="G123" s="49"/>
      <c r="H123" s="49"/>
      <c r="I123" s="49"/>
    </row>
    <row r="124" spans="1:9" ht="15.5" x14ac:dyDescent="0.35">
      <c r="A124" s="83"/>
      <c r="B124" s="49"/>
      <c r="C124" s="49"/>
      <c r="D124" s="49"/>
      <c r="E124" s="49"/>
      <c r="F124" s="49"/>
      <c r="G124" s="49"/>
      <c r="H124" s="49"/>
      <c r="I124" s="49"/>
    </row>
    <row r="125" spans="1:9" ht="15.5" x14ac:dyDescent="0.35">
      <c r="A125" s="82" t="s">
        <v>117</v>
      </c>
      <c r="B125" s="49"/>
      <c r="C125" s="49"/>
      <c r="D125" s="49"/>
      <c r="E125" s="49"/>
      <c r="F125" s="49"/>
      <c r="G125" s="49"/>
      <c r="H125" s="49"/>
      <c r="I125" s="49"/>
    </row>
    <row r="126" spans="1:9" ht="15.5" x14ac:dyDescent="0.35">
      <c r="A126" s="83"/>
      <c r="B126" s="49"/>
      <c r="C126" s="49"/>
      <c r="D126" s="49"/>
      <c r="E126" s="49"/>
      <c r="F126" s="49"/>
      <c r="G126" s="49"/>
      <c r="H126" s="49"/>
      <c r="I126" s="49"/>
    </row>
    <row r="127" spans="1:9" ht="15.5" x14ac:dyDescent="0.35">
      <c r="A127" s="96" t="s">
        <v>118</v>
      </c>
      <c r="B127" s="49"/>
      <c r="C127" s="49"/>
      <c r="D127" s="49"/>
      <c r="E127" s="49"/>
      <c r="F127" s="49"/>
      <c r="G127" s="49"/>
      <c r="H127" s="49"/>
      <c r="I127" s="49"/>
    </row>
    <row r="128" spans="1:9" ht="15.5" x14ac:dyDescent="0.35">
      <c r="A128" s="96" t="s">
        <v>119</v>
      </c>
      <c r="B128" s="49"/>
      <c r="C128" s="49"/>
      <c r="D128" s="49"/>
      <c r="E128" s="49"/>
      <c r="F128" s="49"/>
      <c r="G128" s="49"/>
      <c r="H128" s="49"/>
      <c r="I128" s="49"/>
    </row>
    <row r="129" spans="1:9" ht="15.5" x14ac:dyDescent="0.35">
      <c r="A129" s="96" t="s">
        <v>120</v>
      </c>
      <c r="B129" s="49"/>
      <c r="C129" s="49"/>
      <c r="D129" s="49"/>
      <c r="E129" s="49"/>
      <c r="F129" s="49"/>
      <c r="G129" s="49"/>
      <c r="H129" s="49"/>
      <c r="I129" s="49"/>
    </row>
    <row r="130" spans="1:9" ht="15.5" x14ac:dyDescent="0.35">
      <c r="A130" s="83"/>
      <c r="B130" s="49"/>
      <c r="C130" s="49"/>
      <c r="D130" s="49"/>
      <c r="E130" s="49"/>
      <c r="F130" s="49"/>
      <c r="G130" s="49"/>
      <c r="H130" s="49"/>
      <c r="I130" s="49"/>
    </row>
    <row r="131" spans="1:9" ht="15.5" x14ac:dyDescent="0.35">
      <c r="A131" s="82" t="s">
        <v>121</v>
      </c>
      <c r="B131" s="49"/>
      <c r="C131" s="49"/>
      <c r="D131" s="49"/>
      <c r="E131" s="49"/>
      <c r="F131" s="49"/>
      <c r="G131" s="49"/>
      <c r="H131" s="49"/>
      <c r="I131" s="49"/>
    </row>
    <row r="132" spans="1:9" ht="15.5" x14ac:dyDescent="0.35">
      <c r="A132" s="83"/>
      <c r="B132" s="49"/>
      <c r="C132" s="49"/>
      <c r="D132" s="49"/>
      <c r="E132" s="49"/>
      <c r="F132" s="49"/>
      <c r="G132" s="49"/>
      <c r="H132" s="49"/>
      <c r="I132" s="49"/>
    </row>
    <row r="133" spans="1:9" ht="15.5" x14ac:dyDescent="0.35">
      <c r="A133" s="82" t="s">
        <v>122</v>
      </c>
      <c r="B133" s="49"/>
      <c r="C133" s="49"/>
      <c r="D133" s="49"/>
      <c r="E133" s="49"/>
      <c r="F133" s="49"/>
      <c r="G133" s="49"/>
      <c r="H133" s="49"/>
      <c r="I133" s="49"/>
    </row>
    <row r="134" spans="1:9" ht="15.5" x14ac:dyDescent="0.35">
      <c r="A134" s="83"/>
      <c r="B134" s="49"/>
      <c r="C134" s="49"/>
      <c r="D134" s="49"/>
      <c r="E134" s="49"/>
      <c r="F134" s="49"/>
      <c r="G134" s="49"/>
      <c r="H134" s="49"/>
      <c r="I134" s="49"/>
    </row>
    <row r="135" spans="1:9" ht="15.5" x14ac:dyDescent="0.35">
      <c r="A135" s="96" t="s">
        <v>123</v>
      </c>
      <c r="B135" s="49"/>
      <c r="C135" s="49"/>
      <c r="D135" s="49"/>
      <c r="E135" s="49"/>
      <c r="F135" s="49"/>
      <c r="G135" s="49"/>
      <c r="H135" s="49"/>
      <c r="I135" s="49"/>
    </row>
    <row r="136" spans="1:9" ht="15.5" x14ac:dyDescent="0.35">
      <c r="A136" s="83"/>
      <c r="B136" s="49"/>
      <c r="C136" s="49"/>
      <c r="D136" s="49"/>
      <c r="E136" s="49"/>
      <c r="F136" s="49"/>
      <c r="G136" s="49"/>
      <c r="H136" s="49"/>
      <c r="I136" s="49"/>
    </row>
    <row r="137" spans="1:9" ht="15.5" x14ac:dyDescent="0.35">
      <c r="A137" s="83" t="s">
        <v>124</v>
      </c>
      <c r="B137" s="49"/>
      <c r="C137" s="49"/>
      <c r="D137" s="49"/>
      <c r="E137" s="49"/>
      <c r="F137" s="49"/>
      <c r="G137" s="49"/>
      <c r="H137" s="49"/>
      <c r="I137" s="49"/>
    </row>
    <row r="138" spans="1:9" ht="15.5" x14ac:dyDescent="0.35">
      <c r="A138" s="99" t="s">
        <v>107</v>
      </c>
      <c r="B138" s="49"/>
      <c r="C138" s="49"/>
      <c r="D138" s="49"/>
      <c r="E138" s="49"/>
      <c r="F138" s="49"/>
      <c r="G138" s="49"/>
      <c r="H138" s="49"/>
      <c r="I138" s="49"/>
    </row>
    <row r="139" spans="1:9" ht="15.5" x14ac:dyDescent="0.35">
      <c r="A139" s="99" t="s">
        <v>105</v>
      </c>
      <c r="B139" s="49"/>
      <c r="C139" s="49"/>
      <c r="D139" s="49"/>
      <c r="E139" s="49"/>
      <c r="F139" s="49"/>
      <c r="G139" s="49"/>
      <c r="H139" s="49"/>
      <c r="I139" s="49"/>
    </row>
    <row r="140" spans="1:9" ht="15.5" x14ac:dyDescent="0.35">
      <c r="A140" s="99" t="s">
        <v>106</v>
      </c>
      <c r="B140" s="49"/>
      <c r="C140" s="49"/>
      <c r="D140" s="49"/>
      <c r="E140" s="49"/>
      <c r="F140" s="49"/>
      <c r="G140" s="49"/>
      <c r="H140" s="49"/>
      <c r="I140" s="49"/>
    </row>
    <row r="141" spans="1:9" ht="15.5" x14ac:dyDescent="0.35">
      <c r="A141" s="85"/>
      <c r="B141" s="49"/>
      <c r="C141" s="49"/>
      <c r="D141" s="49"/>
      <c r="E141" s="49"/>
      <c r="F141" s="49"/>
      <c r="G141" s="49"/>
      <c r="H141" s="49"/>
      <c r="I141" s="49"/>
    </row>
    <row r="142" spans="1:9" ht="15.5" x14ac:dyDescent="0.35">
      <c r="A142" s="85"/>
      <c r="B142" s="49"/>
      <c r="C142" s="49"/>
      <c r="D142" s="49"/>
      <c r="E142" s="49"/>
      <c r="F142" s="49"/>
      <c r="G142" s="49"/>
      <c r="H142" s="49"/>
      <c r="I142" s="49"/>
    </row>
    <row r="143" spans="1:9" ht="15.5" x14ac:dyDescent="0.35">
      <c r="A143" s="82" t="s">
        <v>104</v>
      </c>
      <c r="B143" s="49"/>
      <c r="C143" s="49"/>
      <c r="D143" s="49"/>
      <c r="E143" s="49"/>
      <c r="F143" s="49"/>
      <c r="G143" s="49"/>
      <c r="H143" s="49"/>
      <c r="I143" s="49"/>
    </row>
    <row r="144" spans="1:9" ht="15.5" x14ac:dyDescent="0.35">
      <c r="A144" s="82"/>
      <c r="B144" s="49"/>
      <c r="C144" s="49"/>
      <c r="D144" s="49"/>
      <c r="E144" s="49"/>
      <c r="F144" s="49"/>
      <c r="G144" s="49"/>
      <c r="H144" s="49"/>
      <c r="I144" s="49"/>
    </row>
    <row r="145" spans="1:9" ht="15.5" x14ac:dyDescent="0.35">
      <c r="A145" s="82" t="s">
        <v>103</v>
      </c>
      <c r="B145" s="49"/>
      <c r="C145" s="49"/>
      <c r="D145" s="49"/>
      <c r="E145" s="49"/>
      <c r="F145" s="49"/>
      <c r="G145" s="49"/>
      <c r="H145" s="49"/>
      <c r="I145" s="49"/>
    </row>
    <row r="146" spans="1:9" ht="15.5" x14ac:dyDescent="0.35">
      <c r="A146" s="82" t="s">
        <v>102</v>
      </c>
      <c r="B146" s="49">
        <v>0</v>
      </c>
      <c r="C146" s="49"/>
      <c r="D146" s="49"/>
      <c r="E146" s="49"/>
      <c r="F146" s="49"/>
      <c r="G146" s="49"/>
      <c r="H146" s="49"/>
      <c r="I146" s="49"/>
    </row>
    <row r="147" spans="1:9" ht="15.5" x14ac:dyDescent="0.35">
      <c r="A147" s="82"/>
      <c r="B147" s="49"/>
      <c r="C147" s="49"/>
      <c r="D147" s="49"/>
      <c r="E147" s="49"/>
      <c r="F147" s="49"/>
      <c r="G147" s="49"/>
      <c r="H147" s="49"/>
      <c r="I147" s="49"/>
    </row>
    <row r="148" spans="1:9" ht="15.5" x14ac:dyDescent="0.35">
      <c r="A148" s="82"/>
      <c r="B148" s="49"/>
      <c r="C148" s="49"/>
      <c r="D148" s="49"/>
      <c r="E148" s="49"/>
      <c r="F148" s="49"/>
      <c r="G148" s="49"/>
      <c r="H148" s="49"/>
      <c r="I148" s="49"/>
    </row>
    <row r="149" spans="1:9" ht="15.5" x14ac:dyDescent="0.35">
      <c r="A149" s="82" t="s">
        <v>101</v>
      </c>
      <c r="B149" s="49"/>
      <c r="C149" s="49"/>
      <c r="D149" s="49"/>
      <c r="E149" s="49"/>
      <c r="F149" s="49"/>
      <c r="G149" s="49"/>
      <c r="H149" s="49"/>
      <c r="I149" s="49"/>
    </row>
    <row r="150" spans="1:9" ht="15.5" x14ac:dyDescent="0.35">
      <c r="A150" s="83"/>
      <c r="B150" s="49"/>
      <c r="C150" s="49"/>
      <c r="D150" s="49"/>
      <c r="E150" s="49"/>
      <c r="F150" s="49"/>
      <c r="G150" s="49"/>
      <c r="H150" s="49"/>
      <c r="I150" s="49"/>
    </row>
    <row r="151" spans="1:9" ht="15.5" x14ac:dyDescent="0.35">
      <c r="A151" s="83" t="s">
        <v>100</v>
      </c>
      <c r="B151" s="49"/>
      <c r="C151" s="49"/>
      <c r="D151" s="49"/>
      <c r="E151" s="49"/>
      <c r="F151" s="49"/>
      <c r="G151" s="49"/>
      <c r="H151" s="49"/>
      <c r="I151" s="49"/>
    </row>
    <row r="152" spans="1:9" ht="15.5" x14ac:dyDescent="0.35">
      <c r="A152" s="83"/>
      <c r="B152" s="49"/>
      <c r="C152" s="49"/>
      <c r="D152" s="49"/>
      <c r="E152" s="49"/>
      <c r="F152" s="49"/>
      <c r="G152" s="49"/>
      <c r="H152" s="49"/>
      <c r="I152" s="49"/>
    </row>
    <row r="153" spans="1:9" ht="16" thickBot="1" x14ac:dyDescent="0.4">
      <c r="A153" s="82" t="s">
        <v>99</v>
      </c>
      <c r="B153" s="49"/>
      <c r="C153" s="49"/>
      <c r="D153" s="90"/>
      <c r="E153" s="49"/>
      <c r="F153" s="49"/>
      <c r="G153" s="49"/>
      <c r="H153" s="49"/>
      <c r="I153" s="49"/>
    </row>
    <row r="154" spans="1:9" ht="16" thickTop="1" x14ac:dyDescent="0.35">
      <c r="A154" s="88"/>
      <c r="B154" s="49"/>
      <c r="C154" s="49"/>
      <c r="D154" s="49"/>
      <c r="E154" s="49"/>
      <c r="F154" s="49"/>
      <c r="G154" s="49"/>
      <c r="H154" s="49"/>
      <c r="I154" s="49"/>
    </row>
    <row r="155" spans="1:9" ht="15.5" x14ac:dyDescent="0.35">
      <c r="A155" s="87"/>
      <c r="B155" s="49"/>
      <c r="C155" s="49"/>
      <c r="D155" s="49"/>
      <c r="E155" s="49"/>
      <c r="F155" s="49"/>
      <c r="G155" s="49"/>
      <c r="H155" s="49"/>
      <c r="I155" s="49"/>
    </row>
    <row r="156" spans="1:9" ht="15.5" x14ac:dyDescent="0.35">
      <c r="A156" s="89"/>
      <c r="B156" s="49"/>
      <c r="C156" s="49"/>
      <c r="D156" s="49"/>
      <c r="E156" s="49"/>
      <c r="F156" s="49"/>
      <c r="G156" s="49"/>
      <c r="H156" s="49"/>
      <c r="I156" s="49"/>
    </row>
    <row r="157" spans="1:9" ht="15.5" x14ac:dyDescent="0.35">
      <c r="B157" s="49"/>
      <c r="C157" s="49"/>
      <c r="D157" s="49"/>
      <c r="E157" s="49"/>
      <c r="F157" s="49"/>
      <c r="G157" s="49"/>
      <c r="H157" s="49"/>
      <c r="I157" s="49"/>
    </row>
  </sheetData>
  <mergeCells count="1">
    <mergeCell ref="B1:J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B145-7680-46A2-8CA1-4E292D2B9EA9}">
  <sheetPr codeName="Sheet6"/>
  <dimension ref="A1:K157"/>
  <sheetViews>
    <sheetView zoomScale="72" zoomScaleNormal="70" zoomScalePageLayoutView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10.90625" defaultRowHeight="14.5" x14ac:dyDescent="0.35"/>
  <cols>
    <col min="1" max="1" width="59.453125" style="236" bestFit="1" customWidth="1"/>
    <col min="5" max="5" width="13.90625" customWidth="1"/>
  </cols>
  <sheetData>
    <row r="1" spans="1:9" ht="18.5" x14ac:dyDescent="0.45">
      <c r="A1" s="235" t="s">
        <v>12</v>
      </c>
    </row>
    <row r="2" spans="1:9" x14ac:dyDescent="0.35">
      <c r="A2" t="s">
        <v>62</v>
      </c>
    </row>
    <row r="3" spans="1:9" ht="18" x14ac:dyDescent="0.4">
      <c r="A3" s="38" t="s">
        <v>63</v>
      </c>
      <c r="B3" s="80">
        <v>2019</v>
      </c>
      <c r="C3" s="80">
        <v>2020</v>
      </c>
      <c r="D3" s="80">
        <v>2021</v>
      </c>
      <c r="E3" s="80">
        <v>2022</v>
      </c>
      <c r="F3" s="80">
        <v>2023</v>
      </c>
      <c r="G3" s="80">
        <v>2024</v>
      </c>
      <c r="H3" s="80">
        <v>2025</v>
      </c>
      <c r="I3" s="80">
        <v>2026</v>
      </c>
    </row>
    <row r="4" spans="1:9" ht="15.5" x14ac:dyDescent="0.35">
      <c r="A4" s="237"/>
      <c r="B4" s="39"/>
      <c r="C4" s="39"/>
      <c r="D4" s="39"/>
      <c r="E4" s="39"/>
      <c r="F4" s="39"/>
      <c r="G4" s="39"/>
      <c r="H4" s="39"/>
      <c r="I4" s="39"/>
    </row>
    <row r="5" spans="1:9" ht="15.5" x14ac:dyDescent="0.35">
      <c r="A5" s="238" t="str">
        <f>'Exercício 1'!A5</f>
        <v>Receita operacional</v>
      </c>
      <c r="B5" s="42">
        <v>69761703.739999995</v>
      </c>
      <c r="C5" s="42">
        <v>103637104</v>
      </c>
      <c r="D5" s="91">
        <f>109946257</f>
        <v>109946257</v>
      </c>
      <c r="E5" s="42">
        <f>+D5</f>
        <v>109946257</v>
      </c>
      <c r="F5" s="42">
        <f t="shared" ref="F5:I5" si="0">+E5</f>
        <v>109946257</v>
      </c>
      <c r="G5" s="42">
        <f t="shared" si="0"/>
        <v>109946257</v>
      </c>
      <c r="H5" s="42">
        <f t="shared" si="0"/>
        <v>109946257</v>
      </c>
      <c r="I5" s="42">
        <f t="shared" si="0"/>
        <v>109946257</v>
      </c>
    </row>
    <row r="6" spans="1:9" ht="15.5" x14ac:dyDescent="0.35">
      <c r="A6" s="237"/>
      <c r="B6" s="43"/>
      <c r="C6" s="43"/>
      <c r="D6" s="43"/>
      <c r="E6" s="43"/>
      <c r="F6" s="43"/>
      <c r="G6" s="43"/>
      <c r="H6" s="43"/>
      <c r="I6" s="43"/>
    </row>
    <row r="7" spans="1:9" ht="15.5" x14ac:dyDescent="0.35">
      <c r="A7" s="238" t="str">
        <f>'Exercício 1'!A7</f>
        <v>Custo das vendas</v>
      </c>
      <c r="B7" s="42">
        <v>50374949.725000001</v>
      </c>
      <c r="C7" s="42">
        <v>79684750.123796999</v>
      </c>
      <c r="D7" s="91">
        <f>83957975</f>
        <v>83957975</v>
      </c>
      <c r="E7" s="42">
        <f>+D7</f>
        <v>83957975</v>
      </c>
      <c r="F7" s="42">
        <f t="shared" ref="F7:I7" si="1">+E7</f>
        <v>83957975</v>
      </c>
      <c r="G7" s="42">
        <f t="shared" si="1"/>
        <v>83957975</v>
      </c>
      <c r="H7" s="42">
        <f t="shared" si="1"/>
        <v>83957975</v>
      </c>
      <c r="I7" s="42">
        <f t="shared" si="1"/>
        <v>83957975</v>
      </c>
    </row>
    <row r="8" spans="1:9" ht="15.5" x14ac:dyDescent="0.35">
      <c r="A8" s="239"/>
      <c r="B8" s="43"/>
      <c r="C8" s="43"/>
      <c r="D8" s="43"/>
      <c r="E8" s="43"/>
      <c r="F8" s="43"/>
      <c r="G8" s="43"/>
      <c r="H8" s="43"/>
      <c r="I8" s="43"/>
    </row>
    <row r="9" spans="1:9" ht="15.5" x14ac:dyDescent="0.35">
      <c r="A9" s="240" t="str">
        <f>'Exercício 1'!A9</f>
        <v>Lucro bruto</v>
      </c>
      <c r="B9" s="52">
        <v>19386754.014999993</v>
      </c>
      <c r="C9" s="52">
        <v>23952353.876203001</v>
      </c>
      <c r="D9" s="52">
        <v>25988281</v>
      </c>
      <c r="E9" s="52">
        <f>+E5-E7</f>
        <v>25988282</v>
      </c>
      <c r="F9" s="52">
        <f t="shared" ref="F9:I9" si="2">+F5-F7</f>
        <v>25988282</v>
      </c>
      <c r="G9" s="52">
        <f t="shared" si="2"/>
        <v>25988282</v>
      </c>
      <c r="H9" s="52">
        <f t="shared" si="2"/>
        <v>25988282</v>
      </c>
      <c r="I9" s="52">
        <f t="shared" si="2"/>
        <v>25988282</v>
      </c>
    </row>
    <row r="10" spans="1:9" ht="15.5" x14ac:dyDescent="0.35">
      <c r="A10" s="241" t="str">
        <f>'Exercício 1'!A10</f>
        <v xml:space="preserve">Margem Bruta </v>
      </c>
      <c r="B10" s="53">
        <v>0.27789966379338882</v>
      </c>
      <c r="C10" s="53">
        <v>0.23111755299726439</v>
      </c>
      <c r="D10" s="48">
        <v>0.23637258907749822</v>
      </c>
      <c r="E10" s="48">
        <f>+E9/E5</f>
        <v>0.23637259429395582</v>
      </c>
      <c r="F10" s="48">
        <f t="shared" ref="F10:I10" si="3">+F9/F5</f>
        <v>0.23637259429395582</v>
      </c>
      <c r="G10" s="48">
        <f t="shared" si="3"/>
        <v>0.23637259429395582</v>
      </c>
      <c r="H10" s="48">
        <f t="shared" si="3"/>
        <v>0.23637259429395582</v>
      </c>
      <c r="I10" s="48">
        <f t="shared" si="3"/>
        <v>0.23637259429395582</v>
      </c>
    </row>
    <row r="11" spans="1:9" ht="15.5" x14ac:dyDescent="0.35">
      <c r="A11" s="239"/>
      <c r="B11" s="43"/>
      <c r="C11" s="43"/>
      <c r="D11" s="43"/>
      <c r="E11" s="43"/>
      <c r="F11" s="43"/>
      <c r="G11" s="43"/>
      <c r="H11" s="43"/>
      <c r="I11" s="43"/>
    </row>
    <row r="12" spans="1:9" ht="15.5" x14ac:dyDescent="0.35">
      <c r="A12" s="238" t="str">
        <f>'Exercício 1'!A12</f>
        <v>Gastos operacionales</v>
      </c>
      <c r="B12" s="44">
        <v>6437320.6769399997</v>
      </c>
      <c r="C12" s="44">
        <v>7650490.2394700004</v>
      </c>
      <c r="D12" s="92">
        <v>8434702</v>
      </c>
      <c r="E12" s="44">
        <f>+E13+E14</f>
        <v>8434701</v>
      </c>
      <c r="F12" s="44">
        <f t="shared" ref="F12:I12" si="4">+F13+F14</f>
        <v>8434701</v>
      </c>
      <c r="G12" s="44">
        <f t="shared" si="4"/>
        <v>8434701</v>
      </c>
      <c r="H12" s="44">
        <f t="shared" si="4"/>
        <v>8434701</v>
      </c>
      <c r="I12" s="44">
        <f t="shared" si="4"/>
        <v>8434701</v>
      </c>
    </row>
    <row r="13" spans="1:9" ht="15.5" x14ac:dyDescent="0.35">
      <c r="A13" s="239" t="str">
        <f>'Exercício 1'!A13</f>
        <v xml:space="preserve">     Administración</v>
      </c>
      <c r="B13" s="43">
        <v>2044360.3899400001</v>
      </c>
      <c r="C13" s="43">
        <v>2815327.4330000002</v>
      </c>
      <c r="D13" s="49">
        <v>2569822</v>
      </c>
      <c r="E13" s="49">
        <f>+D13</f>
        <v>2569822</v>
      </c>
      <c r="F13" s="49">
        <f t="shared" ref="F13:I14" si="5">+E13</f>
        <v>2569822</v>
      </c>
      <c r="G13" s="49">
        <f t="shared" si="5"/>
        <v>2569822</v>
      </c>
      <c r="H13" s="49">
        <f t="shared" si="5"/>
        <v>2569822</v>
      </c>
      <c r="I13" s="49">
        <f t="shared" si="5"/>
        <v>2569822</v>
      </c>
    </row>
    <row r="14" spans="1:9" ht="15.5" x14ac:dyDescent="0.35">
      <c r="A14" s="239" t="str">
        <f>'Exercício 1'!A14</f>
        <v xml:space="preserve">     Vendas</v>
      </c>
      <c r="B14" s="43">
        <v>4392960.2869999995</v>
      </c>
      <c r="C14" s="43">
        <v>4835162.8064700002</v>
      </c>
      <c r="D14" s="43">
        <v>5864879</v>
      </c>
      <c r="E14" s="43">
        <f>+D14</f>
        <v>5864879</v>
      </c>
      <c r="F14" s="43">
        <f t="shared" si="5"/>
        <v>5864879</v>
      </c>
      <c r="G14" s="43">
        <f t="shared" si="5"/>
        <v>5864879</v>
      </c>
      <c r="H14" s="43">
        <f t="shared" si="5"/>
        <v>5864879</v>
      </c>
      <c r="I14" s="43">
        <f t="shared" si="5"/>
        <v>5864879</v>
      </c>
    </row>
    <row r="15" spans="1:9" ht="15.5" x14ac:dyDescent="0.35">
      <c r="A15" s="242"/>
      <c r="B15" s="55"/>
      <c r="C15" s="55"/>
      <c r="D15" s="55"/>
      <c r="E15" s="55"/>
      <c r="F15" s="55"/>
      <c r="G15" s="55"/>
      <c r="H15" s="55"/>
      <c r="I15" s="55"/>
    </row>
    <row r="16" spans="1:9" ht="15.5" x14ac:dyDescent="0.35">
      <c r="A16" s="243" t="str">
        <f>'Exercício 1'!A16</f>
        <v>EBITDA</v>
      </c>
      <c r="B16" s="52">
        <v>12949433.338059993</v>
      </c>
      <c r="C16" s="52">
        <v>16301863.636732999</v>
      </c>
      <c r="D16" s="52">
        <v>17553579</v>
      </c>
      <c r="E16" s="52">
        <f>+E9-E12</f>
        <v>17553581</v>
      </c>
      <c r="F16" s="52">
        <f t="shared" ref="F16:I16" si="6">+F9-F12</f>
        <v>17553581</v>
      </c>
      <c r="G16" s="52">
        <f t="shared" si="6"/>
        <v>17553581</v>
      </c>
      <c r="H16" s="52">
        <f t="shared" si="6"/>
        <v>17553581</v>
      </c>
      <c r="I16" s="52">
        <f t="shared" si="6"/>
        <v>17553581</v>
      </c>
    </row>
    <row r="17" spans="1:9" ht="15.5" x14ac:dyDescent="0.35">
      <c r="A17" s="243" t="str">
        <f>'Exercício 1'!A17</f>
        <v>Margem EBITDA</v>
      </c>
      <c r="B17" s="57">
        <v>0.1856238114011978</v>
      </c>
      <c r="C17" s="57">
        <v>0.15729756050239496</v>
      </c>
      <c r="D17" s="57">
        <v>0.15965599706425584</v>
      </c>
      <c r="E17" s="57">
        <f>+E16/E5</f>
        <v>0.15965601266444204</v>
      </c>
      <c r="F17" s="57">
        <f t="shared" ref="F17:I17" si="7">+F16/F5</f>
        <v>0.15965601266444204</v>
      </c>
      <c r="G17" s="57">
        <f t="shared" si="7"/>
        <v>0.15965601266444204</v>
      </c>
      <c r="H17" s="57">
        <f t="shared" si="7"/>
        <v>0.15965601266444204</v>
      </c>
      <c r="I17" s="57">
        <f t="shared" si="7"/>
        <v>0.15965601266444204</v>
      </c>
    </row>
    <row r="18" spans="1:9" ht="15.5" x14ac:dyDescent="0.35">
      <c r="A18" s="239"/>
      <c r="B18" s="53"/>
      <c r="C18" s="53"/>
      <c r="D18" s="53"/>
      <c r="E18" s="53"/>
      <c r="F18" s="53"/>
      <c r="G18" s="53"/>
      <c r="H18" s="53"/>
      <c r="I18" s="53"/>
    </row>
    <row r="19" spans="1:9" ht="15.5" x14ac:dyDescent="0.35">
      <c r="A19" s="239" t="str">
        <f>'Exercício 1'!A19</f>
        <v>Depreciação</v>
      </c>
      <c r="B19" s="43">
        <v>4967062.5199899999</v>
      </c>
      <c r="C19" s="43">
        <v>4960606.8679999998</v>
      </c>
      <c r="D19" s="93">
        <v>4978771</v>
      </c>
      <c r="E19" s="49">
        <f>+D19</f>
        <v>4978771</v>
      </c>
      <c r="F19" s="49">
        <f t="shared" ref="F19:I20" si="8">+E19</f>
        <v>4978771</v>
      </c>
      <c r="G19" s="49">
        <f t="shared" si="8"/>
        <v>4978771</v>
      </c>
      <c r="H19" s="49">
        <f t="shared" si="8"/>
        <v>4978771</v>
      </c>
      <c r="I19" s="49">
        <f t="shared" si="8"/>
        <v>4978771</v>
      </c>
    </row>
    <row r="20" spans="1:9" ht="15.5" x14ac:dyDescent="0.35">
      <c r="A20" s="239" t="str">
        <f>'Exercício 1'!A20</f>
        <v>Amortização</v>
      </c>
      <c r="B20" s="43">
        <v>718701.28200000001</v>
      </c>
      <c r="C20" s="43">
        <v>1121477.8500000001</v>
      </c>
      <c r="D20" s="93">
        <v>708486</v>
      </c>
      <c r="E20" s="49">
        <f>+D20</f>
        <v>708486</v>
      </c>
      <c r="F20" s="49">
        <f t="shared" si="8"/>
        <v>708486</v>
      </c>
      <c r="G20" s="49">
        <f t="shared" si="8"/>
        <v>708486</v>
      </c>
      <c r="H20" s="49">
        <f t="shared" si="8"/>
        <v>708486</v>
      </c>
      <c r="I20" s="49">
        <f t="shared" si="8"/>
        <v>708486</v>
      </c>
    </row>
    <row r="21" spans="1:9" ht="15.5" x14ac:dyDescent="0.35">
      <c r="A21" s="239"/>
      <c r="B21" s="48"/>
      <c r="C21" s="48"/>
      <c r="D21" s="48"/>
      <c r="E21" s="48"/>
      <c r="F21" s="48"/>
      <c r="G21" s="48"/>
      <c r="H21" s="48"/>
      <c r="I21" s="48"/>
    </row>
    <row r="22" spans="1:9" ht="15.5" x14ac:dyDescent="0.35">
      <c r="A22" s="243" t="str">
        <f>'Exercício 1'!A22</f>
        <v>EBIT (lucro antes dos juros e tributos)</v>
      </c>
      <c r="B22" s="52">
        <v>7263669.5360699939</v>
      </c>
      <c r="C22" s="52">
        <v>10219778.918732999</v>
      </c>
      <c r="D22" s="52">
        <v>11866321</v>
      </c>
      <c r="E22" s="52">
        <f>+E16-E19-E20</f>
        <v>11866324</v>
      </c>
      <c r="F22" s="52">
        <f t="shared" ref="F22:I22" si="9">+F16-F19-F20</f>
        <v>11866324</v>
      </c>
      <c r="G22" s="52">
        <f t="shared" si="9"/>
        <v>11866324</v>
      </c>
      <c r="H22" s="52">
        <f t="shared" si="9"/>
        <v>11866324</v>
      </c>
      <c r="I22" s="52">
        <f t="shared" si="9"/>
        <v>11866324</v>
      </c>
    </row>
    <row r="23" spans="1:9" ht="15.5" x14ac:dyDescent="0.35">
      <c r="A23" s="244" t="str">
        <f>'Exercício 1'!A23</f>
        <v>Margem EBIT (lucro antes dos juros e tributos)</v>
      </c>
      <c r="B23" s="95">
        <v>0.1</v>
      </c>
      <c r="C23" s="59">
        <v>9.8611197382869734E-2</v>
      </c>
      <c r="D23" s="59">
        <v>0.10792837928053707</v>
      </c>
      <c r="E23" s="59">
        <f t="shared" ref="E23:I23" si="10">+E22/E5</f>
        <v>0.10792840360177064</v>
      </c>
      <c r="F23" s="59">
        <f t="shared" si="10"/>
        <v>0.10792840360177064</v>
      </c>
      <c r="G23" s="59">
        <f t="shared" si="10"/>
        <v>0.10792840360177064</v>
      </c>
      <c r="H23" s="59">
        <f t="shared" si="10"/>
        <v>0.10792840360177064</v>
      </c>
      <c r="I23" s="59">
        <f t="shared" si="10"/>
        <v>0.10792840360177064</v>
      </c>
    </row>
    <row r="24" spans="1:9" ht="15.5" x14ac:dyDescent="0.35">
      <c r="A24" s="244"/>
      <c r="B24" s="59"/>
      <c r="C24" s="59"/>
      <c r="D24" s="59"/>
      <c r="E24" s="59"/>
      <c r="F24" s="59"/>
      <c r="G24" s="59"/>
      <c r="H24" s="59"/>
      <c r="I24" s="59"/>
    </row>
    <row r="25" spans="1:9" ht="15.5" x14ac:dyDescent="0.35">
      <c r="A25" s="239" t="str">
        <f>'Exercício 1'!A25</f>
        <v>Renda não-operacional</v>
      </c>
      <c r="B25" s="43">
        <v>3111759.6764799994</v>
      </c>
      <c r="C25" s="43">
        <v>1838578.632</v>
      </c>
      <c r="D25" s="94">
        <v>2233806</v>
      </c>
      <c r="E25" s="40">
        <f>+D25</f>
        <v>2233806</v>
      </c>
      <c r="F25" s="40">
        <f t="shared" ref="F25:I26" si="11">+E25</f>
        <v>2233806</v>
      </c>
      <c r="G25" s="40">
        <f t="shared" si="11"/>
        <v>2233806</v>
      </c>
      <c r="H25" s="40">
        <f t="shared" si="11"/>
        <v>2233806</v>
      </c>
      <c r="I25" s="40">
        <f t="shared" si="11"/>
        <v>2233806</v>
      </c>
    </row>
    <row r="26" spans="1:9" ht="15.5" x14ac:dyDescent="0.35">
      <c r="A26" s="239" t="str">
        <f>'Exercício 1'!A26</f>
        <v>Despesas não-operacionais</v>
      </c>
      <c r="B26" s="43">
        <v>8960503.6600000001</v>
      </c>
      <c r="C26" s="43">
        <v>10913917.37338</v>
      </c>
      <c r="D26" s="93">
        <v>10533155.114530001</v>
      </c>
      <c r="E26" s="40">
        <f>+D26</f>
        <v>10533155.114530001</v>
      </c>
      <c r="F26" s="40">
        <f t="shared" si="11"/>
        <v>10533155.114530001</v>
      </c>
      <c r="G26" s="40">
        <f t="shared" si="11"/>
        <v>10533155.114530001</v>
      </c>
      <c r="H26" s="40">
        <f t="shared" si="11"/>
        <v>10533155.114530001</v>
      </c>
      <c r="I26" s="40">
        <f t="shared" si="11"/>
        <v>10533155.114530001</v>
      </c>
    </row>
    <row r="27" spans="1:9" ht="15.5" x14ac:dyDescent="0.35">
      <c r="A27" s="239"/>
      <c r="B27" s="43"/>
      <c r="C27" s="43"/>
      <c r="D27" s="43"/>
      <c r="E27" s="43"/>
      <c r="F27" s="43"/>
      <c r="G27" s="43"/>
      <c r="H27" s="43"/>
      <c r="I27" s="43"/>
    </row>
    <row r="28" spans="1:9" ht="15.5" x14ac:dyDescent="0.35">
      <c r="A28" s="240" t="str">
        <f>'Exercício 1'!A28</f>
        <v>Lucro antes dos impostos</v>
      </c>
      <c r="B28" s="52">
        <v>1414925.5525499936</v>
      </c>
      <c r="C28" s="52">
        <v>1144440.1773529984</v>
      </c>
      <c r="D28" s="52">
        <v>3566972</v>
      </c>
      <c r="E28" s="52">
        <f>+E22+E25-E26</f>
        <v>3566974.8854699992</v>
      </c>
      <c r="F28" s="52">
        <f t="shared" ref="F28:I28" si="12">+F22+F25-F26</f>
        <v>3566974.8854699992</v>
      </c>
      <c r="G28" s="52">
        <f t="shared" si="12"/>
        <v>3566974.8854699992</v>
      </c>
      <c r="H28" s="52">
        <f t="shared" si="12"/>
        <v>3566974.8854699992</v>
      </c>
      <c r="I28" s="52">
        <f t="shared" si="12"/>
        <v>3566974.8854699992</v>
      </c>
    </row>
    <row r="29" spans="1:9" ht="15.5" x14ac:dyDescent="0.35">
      <c r="A29" s="240"/>
      <c r="B29" s="43">
        <v>0</v>
      </c>
      <c r="C29" s="46">
        <v>0</v>
      </c>
      <c r="D29" s="43">
        <v>0</v>
      </c>
      <c r="E29" s="43"/>
      <c r="F29" s="43"/>
      <c r="G29" s="43"/>
      <c r="H29" s="43"/>
      <c r="I29" s="43"/>
    </row>
    <row r="30" spans="1:9" ht="15.5" x14ac:dyDescent="0.35">
      <c r="A30" s="239" t="str">
        <f>'Exercício 1'!A30</f>
        <v>Provisão para Impostos</v>
      </c>
      <c r="B30" s="43">
        <v>400000</v>
      </c>
      <c r="C30" s="43">
        <v>717808.44900000002</v>
      </c>
      <c r="D30" s="93">
        <v>685483</v>
      </c>
      <c r="E30" s="43">
        <f>+D30</f>
        <v>685483</v>
      </c>
      <c r="F30" s="43">
        <f t="shared" ref="F30:I30" si="13">+E30</f>
        <v>685483</v>
      </c>
      <c r="G30" s="43">
        <f t="shared" si="13"/>
        <v>685483</v>
      </c>
      <c r="H30" s="43">
        <f t="shared" si="13"/>
        <v>685483</v>
      </c>
      <c r="I30" s="43">
        <f t="shared" si="13"/>
        <v>685483</v>
      </c>
    </row>
    <row r="31" spans="1:9" ht="15.5" x14ac:dyDescent="0.35">
      <c r="A31" s="239"/>
      <c r="B31" s="43">
        <v>0</v>
      </c>
      <c r="C31" s="43">
        <v>0</v>
      </c>
      <c r="D31" s="43"/>
      <c r="E31" s="43"/>
      <c r="F31" s="43"/>
      <c r="G31" s="43"/>
      <c r="H31" s="43"/>
      <c r="I31" s="43"/>
    </row>
    <row r="32" spans="1:9" ht="16" thickBot="1" x14ac:dyDescent="0.4">
      <c r="A32" s="240" t="str">
        <f>'Exercício 1'!A32</f>
        <v>Resultados do exercício</v>
      </c>
      <c r="B32" s="60">
        <v>1014925.5525499936</v>
      </c>
      <c r="C32" s="60">
        <v>426631.72835299838</v>
      </c>
      <c r="D32" s="60">
        <v>2881489</v>
      </c>
      <c r="E32" s="60">
        <f>+E28-E30</f>
        <v>2881491.8854699992</v>
      </c>
      <c r="F32" s="60">
        <f t="shared" ref="F32:I32" si="14">+F28-F30</f>
        <v>2881491.8854699992</v>
      </c>
      <c r="G32" s="60">
        <f t="shared" si="14"/>
        <v>2881491.8854699992</v>
      </c>
      <c r="H32" s="60">
        <f t="shared" si="14"/>
        <v>2881491.8854699992</v>
      </c>
      <c r="I32" s="60">
        <f t="shared" si="14"/>
        <v>2881491.8854699992</v>
      </c>
    </row>
    <row r="33" spans="1:11" ht="15" thickTop="1" x14ac:dyDescent="0.35"/>
    <row r="35" spans="1:11" ht="15.5" x14ac:dyDescent="0.35">
      <c r="A35" s="237" t="str">
        <f>'Exercício 1'!A35</f>
        <v>Check</v>
      </c>
      <c r="B35" s="40"/>
      <c r="C35" s="40"/>
      <c r="D35" s="40"/>
      <c r="E35" s="49">
        <f>+E53-E89</f>
        <v>-3.6542008966207504</v>
      </c>
      <c r="F35" s="49">
        <f t="shared" ref="F35:I35" si="15">+F53-F89</f>
        <v>-3.6542008817195892</v>
      </c>
      <c r="G35" s="49">
        <f t="shared" si="15"/>
        <v>-3.6542008817195892</v>
      </c>
      <c r="H35" s="49">
        <f t="shared" si="15"/>
        <v>-3.6542008817195892</v>
      </c>
      <c r="I35" s="49">
        <f t="shared" si="15"/>
        <v>-3.654200866818428</v>
      </c>
    </row>
    <row r="36" spans="1:11" ht="15.5" x14ac:dyDescent="0.35">
      <c r="A36" s="238" t="str">
        <f>'Exercício 1'!A36</f>
        <v>ACTIVO</v>
      </c>
      <c r="B36" s="40"/>
      <c r="C36" s="62"/>
      <c r="D36" s="40"/>
      <c r="E36" s="40"/>
      <c r="F36" s="40"/>
      <c r="G36" s="40"/>
      <c r="H36" s="40"/>
      <c r="I36" s="40"/>
    </row>
    <row r="37" spans="1:11" ht="15.5" x14ac:dyDescent="0.35">
      <c r="A37" s="237"/>
      <c r="B37" s="63"/>
      <c r="C37" s="64"/>
      <c r="D37" s="40"/>
      <c r="E37" s="40"/>
      <c r="F37" s="40"/>
      <c r="G37" s="40"/>
      <c r="H37" s="40"/>
      <c r="I37" s="40"/>
    </row>
    <row r="38" spans="1:11" ht="15.5" x14ac:dyDescent="0.35">
      <c r="A38" s="239" t="str">
        <f>'Exercício 1'!A38</f>
        <v xml:space="preserve">     Disponível</v>
      </c>
      <c r="B38" s="43">
        <v>1645465.4939999999</v>
      </c>
      <c r="C38" s="43">
        <v>642940.14899999998</v>
      </c>
      <c r="D38" s="93">
        <v>305288</v>
      </c>
      <c r="E38" s="43">
        <f>+E153</f>
        <v>8874036.8854699992</v>
      </c>
      <c r="F38" s="43">
        <f t="shared" ref="F38:I38" si="16">+F153</f>
        <v>17442785.770939998</v>
      </c>
      <c r="G38" s="43">
        <f t="shared" si="16"/>
        <v>26011534.656409997</v>
      </c>
      <c r="H38" s="43">
        <f t="shared" si="16"/>
        <v>34580283.541879997</v>
      </c>
      <c r="I38" s="43">
        <f t="shared" si="16"/>
        <v>43149032.42735</v>
      </c>
    </row>
    <row r="39" spans="1:11" ht="15.5" x14ac:dyDescent="0.35">
      <c r="A39" s="245" t="str">
        <f>'Exercício 1'!A39</f>
        <v xml:space="preserve">     Investimentos </v>
      </c>
      <c r="B39" s="43">
        <v>5628415.2563000005</v>
      </c>
      <c r="C39" s="49">
        <v>8926409.690299999</v>
      </c>
      <c r="D39" s="93">
        <v>15659606</v>
      </c>
      <c r="E39" s="43">
        <f>+D39</f>
        <v>15659606</v>
      </c>
      <c r="F39" s="43">
        <f t="shared" ref="E39:I41" si="17">+E39</f>
        <v>15659606</v>
      </c>
      <c r="G39" s="43">
        <f t="shared" si="17"/>
        <v>15659606</v>
      </c>
      <c r="H39" s="43">
        <f t="shared" si="17"/>
        <v>15659606</v>
      </c>
      <c r="I39" s="43">
        <f t="shared" si="17"/>
        <v>15659606</v>
      </c>
    </row>
    <row r="40" spans="1:11" ht="15.5" x14ac:dyDescent="0.35">
      <c r="A40" s="239" t="str">
        <f>'Exercício 1'!A40</f>
        <v xml:space="preserve">     Devedores</v>
      </c>
      <c r="B40" s="49">
        <v>28480397.206440002</v>
      </c>
      <c r="C40" s="49">
        <v>31996312.053580005</v>
      </c>
      <c r="D40" s="93">
        <v>39583237</v>
      </c>
      <c r="E40" s="43">
        <f>+D40</f>
        <v>39583237</v>
      </c>
      <c r="F40" s="43">
        <f t="shared" si="17"/>
        <v>39583237</v>
      </c>
      <c r="G40" s="43">
        <f t="shared" si="17"/>
        <v>39583237</v>
      </c>
      <c r="H40" s="43">
        <f t="shared" si="17"/>
        <v>39583237</v>
      </c>
      <c r="I40" s="43">
        <f t="shared" si="17"/>
        <v>39583237</v>
      </c>
    </row>
    <row r="41" spans="1:11" ht="15.5" x14ac:dyDescent="0.35">
      <c r="A41" s="239" t="str">
        <f>'Exercício 1'!A41</f>
        <v xml:space="preserve">     Inventário</v>
      </c>
      <c r="B41" s="43">
        <v>8012405.4370983997</v>
      </c>
      <c r="C41" s="49">
        <v>18523553.782098401</v>
      </c>
      <c r="D41" s="93">
        <v>14238583</v>
      </c>
      <c r="E41" s="43">
        <f t="shared" si="17"/>
        <v>14238583</v>
      </c>
      <c r="F41" s="43">
        <f t="shared" si="17"/>
        <v>14238583</v>
      </c>
      <c r="G41" s="43">
        <f t="shared" si="17"/>
        <v>14238583</v>
      </c>
      <c r="H41" s="43">
        <f t="shared" si="17"/>
        <v>14238583</v>
      </c>
      <c r="I41" s="43">
        <f t="shared" si="17"/>
        <v>14238583</v>
      </c>
    </row>
    <row r="42" spans="1:11" ht="15.5" x14ac:dyDescent="0.35">
      <c r="A42" s="239" t="str">
        <f>'Exercício 1'!A42</f>
        <v xml:space="preserve">     Diferido</v>
      </c>
      <c r="B42" s="43">
        <v>2029526.7755799999</v>
      </c>
      <c r="C42" s="49">
        <v>4713514.6285800003</v>
      </c>
      <c r="D42" s="93">
        <v>3731245</v>
      </c>
      <c r="E42" s="43">
        <f>+D42-E20</f>
        <v>3022759</v>
      </c>
      <c r="F42" s="43">
        <f>+E42-F20</f>
        <v>2314273</v>
      </c>
      <c r="G42" s="43">
        <f t="shared" ref="G42:I42" si="18">+F42-G20</f>
        <v>1605787</v>
      </c>
      <c r="H42" s="43">
        <f t="shared" si="18"/>
        <v>897301</v>
      </c>
      <c r="I42" s="43">
        <f t="shared" si="18"/>
        <v>188815</v>
      </c>
      <c r="K42" t="s">
        <v>21</v>
      </c>
    </row>
    <row r="43" spans="1:11" ht="15.5" x14ac:dyDescent="0.35">
      <c r="A43" s="238" t="str">
        <f>'Exercício 1'!A43</f>
        <v xml:space="preserve">     Ativo Circulante Total</v>
      </c>
      <c r="B43" s="66">
        <v>45796210.169418395</v>
      </c>
      <c r="C43" s="66">
        <v>64802730.303558409</v>
      </c>
      <c r="D43" s="66">
        <v>73517962.175228402</v>
      </c>
      <c r="E43" s="66">
        <f>+SUM(E38:E42)</f>
        <v>81378221.885470003</v>
      </c>
      <c r="F43" s="66">
        <f t="shared" ref="F43:I43" si="19">+SUM(F38:F42)</f>
        <v>89238484.770940006</v>
      </c>
      <c r="G43" s="66">
        <f t="shared" si="19"/>
        <v>97098747.656409994</v>
      </c>
      <c r="H43" s="66">
        <f t="shared" si="19"/>
        <v>104959010.54188</v>
      </c>
      <c r="I43" s="66">
        <f t="shared" si="19"/>
        <v>112819273.42735</v>
      </c>
    </row>
    <row r="44" spans="1:11" ht="15.5" x14ac:dyDescent="0.35">
      <c r="A44" s="238"/>
      <c r="B44" s="43"/>
      <c r="C44" s="49"/>
      <c r="D44" s="53"/>
      <c r="E44" s="53"/>
      <c r="F44" s="53"/>
      <c r="G44" s="53"/>
      <c r="H44" s="53"/>
      <c r="I44" s="53"/>
    </row>
    <row r="45" spans="1:11" ht="15.5" x14ac:dyDescent="0.35">
      <c r="A45" s="239" t="str">
        <f>'Exercício 1'!A45</f>
        <v xml:space="preserve">     Investimentos </v>
      </c>
      <c r="B45" s="43">
        <v>0</v>
      </c>
      <c r="C45" s="49">
        <v>0</v>
      </c>
      <c r="D45" s="93">
        <v>0</v>
      </c>
      <c r="E45" s="43">
        <f>+D45</f>
        <v>0</v>
      </c>
      <c r="F45" s="43">
        <f t="shared" ref="F45:I45" si="20">+E45</f>
        <v>0</v>
      </c>
      <c r="G45" s="43">
        <f t="shared" si="20"/>
        <v>0</v>
      </c>
      <c r="H45" s="43">
        <f t="shared" si="20"/>
        <v>0</v>
      </c>
      <c r="I45" s="43">
        <f t="shared" si="20"/>
        <v>0</v>
      </c>
    </row>
    <row r="46" spans="1:11" ht="15.5" x14ac:dyDescent="0.35">
      <c r="A46" s="239" t="str">
        <f>'Exercício 1'!A46</f>
        <v xml:space="preserve">     Propriedade, instalações e equipamentos - Líquido</v>
      </c>
      <c r="B46" s="43">
        <v>16737065.702829998</v>
      </c>
      <c r="C46" s="43">
        <v>17339452.500830002</v>
      </c>
      <c r="D46" s="93">
        <v>15861674.278940007</v>
      </c>
      <c r="E46" s="43">
        <f t="shared" ref="E46:I48" si="21">+D46</f>
        <v>15861674.278940007</v>
      </c>
      <c r="F46" s="43">
        <f t="shared" si="21"/>
        <v>15861674.278940007</v>
      </c>
      <c r="G46" s="43">
        <f t="shared" si="21"/>
        <v>15861674.278940007</v>
      </c>
      <c r="H46" s="43">
        <f t="shared" si="21"/>
        <v>15861674.278940007</v>
      </c>
      <c r="I46" s="43">
        <f t="shared" si="21"/>
        <v>15861674.278940007</v>
      </c>
    </row>
    <row r="47" spans="1:11" ht="15.5" x14ac:dyDescent="0.35">
      <c r="A47" s="239" t="str">
        <f>'Exercício 1'!A47</f>
        <v xml:space="preserve">     Depreciação acumulada</v>
      </c>
      <c r="B47" s="43"/>
      <c r="C47" s="43"/>
      <c r="D47" s="93"/>
      <c r="E47" s="43">
        <f>+E19</f>
        <v>4978771</v>
      </c>
      <c r="F47" s="43">
        <f>+E47+F19</f>
        <v>9957542</v>
      </c>
      <c r="G47" s="43">
        <f t="shared" ref="G47:I47" si="22">+F47+G19</f>
        <v>14936313</v>
      </c>
      <c r="H47" s="43">
        <f t="shared" si="22"/>
        <v>19915084</v>
      </c>
      <c r="I47" s="43">
        <f t="shared" si="22"/>
        <v>24893855</v>
      </c>
      <c r="K47" t="s">
        <v>22</v>
      </c>
    </row>
    <row r="48" spans="1:11" ht="15.5" x14ac:dyDescent="0.35">
      <c r="A48" s="239" t="str">
        <f>'Exercício 1'!A48</f>
        <v xml:space="preserve">     Outros ativos</v>
      </c>
      <c r="B48" s="43">
        <v>3501750.04</v>
      </c>
      <c r="C48" s="49">
        <v>10251750.039999999</v>
      </c>
      <c r="D48" s="93">
        <v>11807194.467</v>
      </c>
      <c r="E48" s="43">
        <f t="shared" si="21"/>
        <v>11807194.467</v>
      </c>
      <c r="F48" s="43">
        <f t="shared" si="21"/>
        <v>11807194.467</v>
      </c>
      <c r="G48" s="43">
        <f t="shared" si="21"/>
        <v>11807194.467</v>
      </c>
      <c r="H48" s="43">
        <f t="shared" si="21"/>
        <v>11807194.467</v>
      </c>
      <c r="I48" s="43">
        <f t="shared" si="21"/>
        <v>11807194.467</v>
      </c>
    </row>
    <row r="49" spans="1:9" ht="15.5" x14ac:dyDescent="0.35">
      <c r="A49" s="238" t="str">
        <f>'Exercício 1'!A49</f>
        <v xml:space="preserve">     Total do ativo não circulante</v>
      </c>
      <c r="B49" s="52">
        <v>20238815.742829997</v>
      </c>
      <c r="C49" s="66">
        <v>27591202.540830001</v>
      </c>
      <c r="D49" s="52">
        <v>27668868.745940007</v>
      </c>
      <c r="E49" s="52">
        <f>+E45+E46-E47+E48</f>
        <v>22690097.745940007</v>
      </c>
      <c r="F49" s="52">
        <f t="shared" ref="F49:I49" si="23">+F45+F46-F47+F48</f>
        <v>17711326.745940007</v>
      </c>
      <c r="G49" s="52">
        <f t="shared" si="23"/>
        <v>12732555.745940007</v>
      </c>
      <c r="H49" s="52">
        <f t="shared" si="23"/>
        <v>7753784.7459400073</v>
      </c>
      <c r="I49" s="52">
        <f t="shared" si="23"/>
        <v>2775013.7459400073</v>
      </c>
    </row>
    <row r="50" spans="1:9" ht="15.5" x14ac:dyDescent="0.35">
      <c r="A50" s="238"/>
      <c r="B50" s="43"/>
      <c r="C50" s="49"/>
      <c r="D50" s="53"/>
      <c r="E50" s="53"/>
      <c r="F50" s="53"/>
      <c r="G50" s="53"/>
      <c r="H50" s="53"/>
      <c r="I50" s="53"/>
    </row>
    <row r="51" spans="1:9" ht="15.5" x14ac:dyDescent="0.35">
      <c r="A51" s="238" t="str">
        <f>'Exercício 1'!A51</f>
        <v xml:space="preserve">   VALORIZAÇÕES</v>
      </c>
      <c r="B51" s="43">
        <v>10208552.654999999</v>
      </c>
      <c r="C51" s="49">
        <v>10208552.654999999</v>
      </c>
      <c r="D51" s="93">
        <v>8653108.2280000001</v>
      </c>
      <c r="E51" s="43">
        <f>+D51</f>
        <v>8653108.2280000001</v>
      </c>
      <c r="F51" s="43">
        <f t="shared" ref="F51:I51" si="24">+E51</f>
        <v>8653108.2280000001</v>
      </c>
      <c r="G51" s="43">
        <f t="shared" si="24"/>
        <v>8653108.2280000001</v>
      </c>
      <c r="H51" s="43">
        <f t="shared" si="24"/>
        <v>8653108.2280000001</v>
      </c>
      <c r="I51" s="43">
        <f t="shared" si="24"/>
        <v>8653108.2280000001</v>
      </c>
    </row>
    <row r="52" spans="1:9" ht="15.5" x14ac:dyDescent="0.35">
      <c r="A52" s="238"/>
      <c r="B52" s="43"/>
      <c r="C52" s="49"/>
      <c r="D52" s="43"/>
      <c r="E52" s="43"/>
      <c r="F52" s="43"/>
      <c r="G52" s="43"/>
      <c r="H52" s="43"/>
      <c r="I52" s="43"/>
    </row>
    <row r="53" spans="1:9" ht="16" thickBot="1" x14ac:dyDescent="0.4">
      <c r="A53" s="238" t="str">
        <f>'Exercício 1'!A53</f>
        <v xml:space="preserve">     Total do Ativo</v>
      </c>
      <c r="B53" s="60">
        <v>76243578.567248389</v>
      </c>
      <c r="C53" s="67">
        <v>102602485.49938841</v>
      </c>
      <c r="D53" s="60">
        <v>109839939.14916842</v>
      </c>
      <c r="E53" s="60">
        <f>+E43+E49+E51</f>
        <v>112721427.85941</v>
      </c>
      <c r="F53" s="60">
        <f t="shared" ref="F53:I53" si="25">+F43+F49+F51</f>
        <v>115602919.74488001</v>
      </c>
      <c r="G53" s="60">
        <f t="shared" si="25"/>
        <v>118484411.63035001</v>
      </c>
      <c r="H53" s="60">
        <f t="shared" si="25"/>
        <v>121365903.51582001</v>
      </c>
      <c r="I53" s="60">
        <f t="shared" si="25"/>
        <v>124247395.40129001</v>
      </c>
    </row>
    <row r="54" spans="1:9" ht="16" thickTop="1" x14ac:dyDescent="0.35">
      <c r="A54" s="246"/>
      <c r="B54" s="43"/>
      <c r="C54" s="49"/>
      <c r="D54" s="43"/>
      <c r="E54" s="43"/>
      <c r="F54" s="43"/>
      <c r="G54" s="43"/>
      <c r="H54" s="43"/>
      <c r="I54" s="43"/>
    </row>
    <row r="55" spans="1:9" ht="15.5" x14ac:dyDescent="0.35">
      <c r="A55" s="237"/>
      <c r="B55" s="53"/>
      <c r="C55" s="53"/>
      <c r="D55" s="53"/>
      <c r="E55" s="53"/>
      <c r="F55" s="53"/>
      <c r="G55" s="53"/>
      <c r="H55" s="53"/>
      <c r="I55" s="53"/>
    </row>
    <row r="56" spans="1:9" ht="15.5" x14ac:dyDescent="0.35">
      <c r="A56" s="238" t="str">
        <f>'Exercício 1'!A56</f>
        <v xml:space="preserve">PASSIVO </v>
      </c>
      <c r="B56" s="48"/>
      <c r="C56" s="49"/>
      <c r="D56" s="69"/>
      <c r="E56" s="69"/>
      <c r="F56" s="69"/>
      <c r="G56" s="69"/>
      <c r="H56" s="69"/>
      <c r="I56" s="69"/>
    </row>
    <row r="57" spans="1:9" ht="15.5" x14ac:dyDescent="0.35">
      <c r="A57" s="247"/>
      <c r="B57" s="48"/>
      <c r="C57" s="49"/>
      <c r="D57" s="47"/>
      <c r="E57" s="47"/>
      <c r="F57" s="47"/>
      <c r="G57" s="47"/>
      <c r="H57" s="47"/>
      <c r="I57" s="47"/>
    </row>
    <row r="58" spans="1:9" ht="15.5" x14ac:dyDescent="0.35">
      <c r="A58" s="248" t="str">
        <f>'Exercício 1'!A58</f>
        <v xml:space="preserve">     Obrigações financeiras</v>
      </c>
      <c r="B58" s="43">
        <v>5227706.5881308466</v>
      </c>
      <c r="C58" s="49">
        <v>2432085.2220000001</v>
      </c>
      <c r="D58" s="93">
        <v>20627.804</v>
      </c>
      <c r="E58" s="43">
        <f>+D58</f>
        <v>20627.804</v>
      </c>
      <c r="F58" s="43">
        <f>+E58</f>
        <v>20627.804</v>
      </c>
      <c r="G58" s="43">
        <f t="shared" ref="G58:I58" si="26">+F58</f>
        <v>20627.804</v>
      </c>
      <c r="H58" s="43">
        <f t="shared" si="26"/>
        <v>20627.804</v>
      </c>
      <c r="I58" s="43">
        <f t="shared" si="26"/>
        <v>20627.804</v>
      </c>
    </row>
    <row r="59" spans="1:9" ht="15.5" x14ac:dyDescent="0.35">
      <c r="A59" s="248" t="str">
        <f>'Exercício 1'!A59</f>
        <v xml:space="preserve">     Fornecedores</v>
      </c>
      <c r="B59" s="43">
        <v>4822503.8218899993</v>
      </c>
      <c r="C59" s="49">
        <v>10388665.346889999</v>
      </c>
      <c r="D59" s="93">
        <v>11149368.063720001</v>
      </c>
      <c r="E59" s="43">
        <f>+D59</f>
        <v>11149368.063720001</v>
      </c>
      <c r="F59" s="43">
        <f t="shared" ref="F59:I63" si="27">+E59</f>
        <v>11149368.063720001</v>
      </c>
      <c r="G59" s="43">
        <f t="shared" si="27"/>
        <v>11149368.063720001</v>
      </c>
      <c r="H59" s="43">
        <f t="shared" si="27"/>
        <v>11149368.063720001</v>
      </c>
      <c r="I59" s="43">
        <f t="shared" si="27"/>
        <v>11149368.063720001</v>
      </c>
    </row>
    <row r="60" spans="1:9" ht="15.5" x14ac:dyDescent="0.35">
      <c r="A60" s="248" t="str">
        <f>'Exercício 1'!A60</f>
        <v xml:space="preserve">     Custos e despesas a pagar</v>
      </c>
      <c r="B60" s="43">
        <v>23943754.917098399</v>
      </c>
      <c r="C60" s="49">
        <v>30010174.645098399</v>
      </c>
      <c r="D60" s="93">
        <v>31211816.486098405</v>
      </c>
      <c r="E60" s="43">
        <f>+D60</f>
        <v>31211816.486098405</v>
      </c>
      <c r="F60" s="43">
        <f t="shared" si="27"/>
        <v>31211816.486098405</v>
      </c>
      <c r="G60" s="43">
        <f t="shared" si="27"/>
        <v>31211816.486098405</v>
      </c>
      <c r="H60" s="43">
        <f t="shared" si="27"/>
        <v>31211816.486098405</v>
      </c>
      <c r="I60" s="43">
        <f t="shared" si="27"/>
        <v>31211816.486098405</v>
      </c>
    </row>
    <row r="61" spans="1:9" ht="15.5" x14ac:dyDescent="0.35">
      <c r="A61" s="248" t="str">
        <f>'Exercício 1'!A61</f>
        <v xml:space="preserve">     Impostos, taxas e encargos</v>
      </c>
      <c r="B61" s="43">
        <v>1186162.6724400001</v>
      </c>
      <c r="C61" s="49">
        <v>2847920.7544400003</v>
      </c>
      <c r="D61" s="93">
        <v>4105531.69001</v>
      </c>
      <c r="E61" s="43">
        <f>+D61</f>
        <v>4105531.69001</v>
      </c>
      <c r="F61" s="43">
        <f t="shared" si="27"/>
        <v>4105531.69001</v>
      </c>
      <c r="G61" s="43">
        <f t="shared" si="27"/>
        <v>4105531.69001</v>
      </c>
      <c r="H61" s="43">
        <f t="shared" si="27"/>
        <v>4105531.69001</v>
      </c>
      <c r="I61" s="43">
        <f t="shared" si="27"/>
        <v>4105531.69001</v>
      </c>
    </row>
    <row r="62" spans="1:9" ht="15.5" x14ac:dyDescent="0.35">
      <c r="A62" s="248" t="str">
        <f>'Exercício 1'!A62</f>
        <v xml:space="preserve">     Obrigações e provisões trabalhistas</v>
      </c>
      <c r="B62" s="43">
        <v>772201.77715999994</v>
      </c>
      <c r="C62" s="49">
        <v>569639.67015999986</v>
      </c>
      <c r="D62" s="93">
        <v>515593.25194999983</v>
      </c>
      <c r="E62" s="43">
        <f>+D62</f>
        <v>515593.25194999983</v>
      </c>
      <c r="F62" s="43">
        <f t="shared" si="27"/>
        <v>515593.25194999983</v>
      </c>
      <c r="G62" s="43">
        <f t="shared" si="27"/>
        <v>515593.25194999983</v>
      </c>
      <c r="H62" s="43">
        <f t="shared" si="27"/>
        <v>515593.25194999983</v>
      </c>
      <c r="I62" s="43">
        <f t="shared" si="27"/>
        <v>515593.25194999983</v>
      </c>
    </row>
    <row r="63" spans="1:9" ht="15.5" x14ac:dyDescent="0.35">
      <c r="A63" s="248" t="str">
        <f>'Exercício 1'!A63</f>
        <v xml:space="preserve">     Outros Passivos</v>
      </c>
      <c r="B63" s="43">
        <v>21320.622520000001</v>
      </c>
      <c r="C63" s="49">
        <v>629773.37352000002</v>
      </c>
      <c r="D63" s="93">
        <v>3841492.4539999999</v>
      </c>
      <c r="E63" s="43">
        <f>+D63</f>
        <v>3841492.4539999999</v>
      </c>
      <c r="F63" s="43">
        <f t="shared" si="27"/>
        <v>3841492.4539999999</v>
      </c>
      <c r="G63" s="43">
        <f t="shared" si="27"/>
        <v>3841492.4539999999</v>
      </c>
      <c r="H63" s="43">
        <f t="shared" si="27"/>
        <v>3841492.4539999999</v>
      </c>
      <c r="I63" s="43">
        <f t="shared" si="27"/>
        <v>3841492.4539999999</v>
      </c>
    </row>
    <row r="64" spans="1:9" ht="15.5" x14ac:dyDescent="0.35">
      <c r="A64" s="247" t="str">
        <f>'Exercício 1'!A64</f>
        <v>Total do Passivo Circulante</v>
      </c>
      <c r="B64" s="52">
        <v>35973650.399239242</v>
      </c>
      <c r="C64" s="52">
        <v>46878259.0121084</v>
      </c>
      <c r="D64" s="52">
        <v>50844429.749778405</v>
      </c>
      <c r="E64" s="52">
        <f>+SUM(E58:E63)</f>
        <v>50844429.749778405</v>
      </c>
      <c r="F64" s="52">
        <f t="shared" ref="F64:I64" si="28">+SUM(F58:F63)</f>
        <v>50844429.749778405</v>
      </c>
      <c r="G64" s="52">
        <f t="shared" si="28"/>
        <v>50844429.749778405</v>
      </c>
      <c r="H64" s="52">
        <f t="shared" si="28"/>
        <v>50844429.749778405</v>
      </c>
      <c r="I64" s="52">
        <f t="shared" si="28"/>
        <v>50844429.749778405</v>
      </c>
    </row>
    <row r="65" spans="1:9" ht="15.5" x14ac:dyDescent="0.35">
      <c r="A65" s="247"/>
      <c r="B65" s="71"/>
      <c r="C65" s="72"/>
      <c r="D65" s="73"/>
      <c r="E65" s="73"/>
      <c r="F65" s="73"/>
      <c r="G65" s="73"/>
      <c r="H65" s="73"/>
      <c r="I65" s="73"/>
    </row>
    <row r="66" spans="1:9" ht="15.5" x14ac:dyDescent="0.35">
      <c r="A66" s="249" t="str">
        <f>'Exercício 1'!A66</f>
        <v>Obrigações financeiras MP (medio prazo)</v>
      </c>
      <c r="B66" s="72">
        <v>2824073.2384456042</v>
      </c>
      <c r="C66" s="72">
        <v>10247807.887</v>
      </c>
      <c r="D66" s="71">
        <v>13706155.57966</v>
      </c>
      <c r="E66" s="71">
        <f>+D66</f>
        <v>13706155.57966</v>
      </c>
      <c r="F66" s="71">
        <f t="shared" ref="F66:I66" si="29">+E66</f>
        <v>13706155.57966</v>
      </c>
      <c r="G66" s="71">
        <f t="shared" si="29"/>
        <v>13706155.57966</v>
      </c>
      <c r="H66" s="71">
        <f t="shared" si="29"/>
        <v>13706155.57966</v>
      </c>
      <c r="I66" s="71">
        <f t="shared" si="29"/>
        <v>13706155.57966</v>
      </c>
    </row>
    <row r="67" spans="1:9" ht="15.5" x14ac:dyDescent="0.35">
      <c r="A67" s="247"/>
      <c r="B67" s="43"/>
      <c r="C67" s="49"/>
      <c r="D67" s="43"/>
      <c r="E67" s="43"/>
      <c r="F67" s="43"/>
      <c r="G67" s="43"/>
      <c r="H67" s="43"/>
      <c r="I67" s="43"/>
    </row>
    <row r="68" spans="1:9" ht="15.5" x14ac:dyDescent="0.35">
      <c r="A68" s="248" t="str">
        <f>'Exercício 1'!A68</f>
        <v xml:space="preserve">     Obrigações financeiras LP (longo prazo)</v>
      </c>
      <c r="B68" s="43">
        <v>469587.52899999998</v>
      </c>
      <c r="C68" s="49">
        <v>481736.40899999999</v>
      </c>
      <c r="D68" s="93">
        <v>3728210.0980000002</v>
      </c>
      <c r="E68" s="49">
        <f>+D68</f>
        <v>3728210.0980000002</v>
      </c>
      <c r="F68" s="49">
        <f t="shared" ref="F68:I68" si="30">+E68</f>
        <v>3728210.0980000002</v>
      </c>
      <c r="G68" s="49">
        <f t="shared" si="30"/>
        <v>3728210.0980000002</v>
      </c>
      <c r="H68" s="49">
        <f t="shared" si="30"/>
        <v>3728210.0980000002</v>
      </c>
      <c r="I68" s="49">
        <f t="shared" si="30"/>
        <v>3728210.0980000002</v>
      </c>
    </row>
    <row r="69" spans="1:9" ht="15.5" x14ac:dyDescent="0.35">
      <c r="A69" s="248" t="str">
        <f>'Exercício 1'!A69</f>
        <v xml:space="preserve">     Obligaciones con particulares</v>
      </c>
      <c r="B69" s="43">
        <v>532968.52500000002</v>
      </c>
      <c r="C69" s="49"/>
      <c r="D69" s="93"/>
      <c r="E69" s="49">
        <f t="shared" ref="E69:I73" si="31">+D69</f>
        <v>0</v>
      </c>
      <c r="F69" s="49">
        <f t="shared" si="31"/>
        <v>0</v>
      </c>
      <c r="G69" s="49">
        <f t="shared" si="31"/>
        <v>0</v>
      </c>
      <c r="H69" s="49">
        <f t="shared" si="31"/>
        <v>0</v>
      </c>
      <c r="I69" s="49">
        <f t="shared" si="31"/>
        <v>0</v>
      </c>
    </row>
    <row r="70" spans="1:9" ht="15.5" x14ac:dyDescent="0.35">
      <c r="A70" s="248" t="str">
        <f>'Exercício 1'!A70</f>
        <v xml:space="preserve">     Fornecedores</v>
      </c>
      <c r="B70" s="43">
        <v>3255946.2940000002</v>
      </c>
      <c r="C70" s="49">
        <v>1860521.486</v>
      </c>
      <c r="D70" s="93">
        <v>0</v>
      </c>
      <c r="E70" s="49">
        <f t="shared" si="31"/>
        <v>0</v>
      </c>
      <c r="F70" s="49">
        <f t="shared" si="31"/>
        <v>0</v>
      </c>
      <c r="G70" s="49">
        <f t="shared" si="31"/>
        <v>0</v>
      </c>
      <c r="H70" s="49">
        <f t="shared" si="31"/>
        <v>0</v>
      </c>
      <c r="I70" s="49">
        <f t="shared" si="31"/>
        <v>0</v>
      </c>
    </row>
    <row r="71" spans="1:9" ht="15.5" x14ac:dyDescent="0.35">
      <c r="A71" s="239" t="str">
        <f>'Exercício 1'!A71</f>
        <v xml:space="preserve">     Custos e contas a pagar</v>
      </c>
      <c r="B71" s="43">
        <v>-166079.62899999999</v>
      </c>
      <c r="C71" s="49">
        <v>242501.21400000001</v>
      </c>
      <c r="D71" s="93">
        <v>0</v>
      </c>
      <c r="E71" s="49">
        <f t="shared" si="31"/>
        <v>0</v>
      </c>
      <c r="F71" s="49">
        <f t="shared" si="31"/>
        <v>0</v>
      </c>
      <c r="G71" s="49">
        <f t="shared" si="31"/>
        <v>0</v>
      </c>
      <c r="H71" s="49">
        <f t="shared" si="31"/>
        <v>0</v>
      </c>
      <c r="I71" s="49">
        <f t="shared" si="31"/>
        <v>0</v>
      </c>
    </row>
    <row r="72" spans="1:9" ht="15.5" x14ac:dyDescent="0.35">
      <c r="A72" s="239" t="str">
        <f>'Exercício 1'!A72</f>
        <v xml:space="preserve">     Impostos, taxas e encargos</v>
      </c>
      <c r="B72" s="43">
        <v>2236796.588</v>
      </c>
      <c r="C72" s="49">
        <v>1679073.5390000001</v>
      </c>
      <c r="D72" s="93">
        <v>0</v>
      </c>
      <c r="E72" s="49">
        <f t="shared" si="31"/>
        <v>0</v>
      </c>
      <c r="F72" s="49">
        <f t="shared" si="31"/>
        <v>0</v>
      </c>
      <c r="G72" s="49">
        <f t="shared" si="31"/>
        <v>0</v>
      </c>
      <c r="H72" s="49">
        <f t="shared" si="31"/>
        <v>0</v>
      </c>
      <c r="I72" s="49">
        <f t="shared" si="31"/>
        <v>0</v>
      </c>
    </row>
    <row r="73" spans="1:9" ht="15.5" x14ac:dyDescent="0.35">
      <c r="A73" s="239" t="str">
        <f>'Exercício 1'!A73</f>
        <v xml:space="preserve">     Obrigações e provisões trabalhistas</v>
      </c>
      <c r="B73" s="43">
        <v>1173110.1340000001</v>
      </c>
      <c r="C73" s="49">
        <v>890113.83299999998</v>
      </c>
      <c r="D73" s="93">
        <v>0</v>
      </c>
      <c r="E73" s="49">
        <f t="shared" si="31"/>
        <v>0</v>
      </c>
      <c r="F73" s="49">
        <f t="shared" si="31"/>
        <v>0</v>
      </c>
      <c r="G73" s="49">
        <f t="shared" si="31"/>
        <v>0</v>
      </c>
      <c r="H73" s="49">
        <f t="shared" si="31"/>
        <v>0</v>
      </c>
      <c r="I73" s="49">
        <f t="shared" si="31"/>
        <v>0</v>
      </c>
    </row>
    <row r="74" spans="1:9" ht="15.5" x14ac:dyDescent="0.35">
      <c r="A74" s="238" t="str">
        <f>'Exercício 1'!A74</f>
        <v xml:space="preserve">     Total do passivo não circulante</v>
      </c>
      <c r="B74" s="52">
        <v>7502329.4409999996</v>
      </c>
      <c r="C74" s="66">
        <v>5153946.4809999997</v>
      </c>
      <c r="D74" s="52">
        <v>3728210.0980000002</v>
      </c>
      <c r="E74" s="52">
        <f>+SUM(E68:E73)</f>
        <v>3728210.0980000002</v>
      </c>
      <c r="F74" s="52">
        <f t="shared" ref="F74:I74" si="32">+SUM(F68:F73)</f>
        <v>3728210.0980000002</v>
      </c>
      <c r="G74" s="52">
        <f t="shared" si="32"/>
        <v>3728210.0980000002</v>
      </c>
      <c r="H74" s="52">
        <f t="shared" si="32"/>
        <v>3728210.0980000002</v>
      </c>
      <c r="I74" s="52">
        <f t="shared" si="32"/>
        <v>3728210.0980000002</v>
      </c>
    </row>
    <row r="75" spans="1:9" ht="15.5" x14ac:dyDescent="0.35">
      <c r="A75" s="238"/>
      <c r="B75" s="43"/>
      <c r="C75" s="49"/>
      <c r="D75" s="75"/>
      <c r="E75" s="75"/>
      <c r="F75" s="75"/>
      <c r="G75" s="75"/>
      <c r="H75" s="75"/>
      <c r="I75" s="75"/>
    </row>
    <row r="76" spans="1:9" ht="15.5" x14ac:dyDescent="0.35">
      <c r="A76" s="238" t="str">
        <f>'Exercício 1'!A76</f>
        <v xml:space="preserve">     Total do Passivo</v>
      </c>
      <c r="B76" s="52">
        <v>46300053.078684844</v>
      </c>
      <c r="C76" s="66">
        <v>62280013.380108401</v>
      </c>
      <c r="D76" s="66">
        <v>68278795.427438408</v>
      </c>
      <c r="E76" s="66">
        <f>+E64+E66+E74</f>
        <v>68278795.427438408</v>
      </c>
      <c r="F76" s="66">
        <f t="shared" ref="F76:I76" si="33">+F64+F66+F74</f>
        <v>68278795.427438408</v>
      </c>
      <c r="G76" s="66">
        <f t="shared" si="33"/>
        <v>68278795.427438408</v>
      </c>
      <c r="H76" s="66">
        <f t="shared" si="33"/>
        <v>68278795.427438408</v>
      </c>
      <c r="I76" s="66">
        <f t="shared" si="33"/>
        <v>68278795.427438408</v>
      </c>
    </row>
    <row r="77" spans="1:9" ht="15.5" x14ac:dyDescent="0.35">
      <c r="A77" s="237"/>
      <c r="B77" s="43"/>
      <c r="C77" s="49"/>
      <c r="D77" s="43"/>
      <c r="E77" s="43"/>
      <c r="F77" s="43"/>
      <c r="G77" s="43"/>
      <c r="H77" s="43"/>
      <c r="I77" s="43"/>
    </row>
    <row r="78" spans="1:9" ht="15.5" x14ac:dyDescent="0.35">
      <c r="A78" s="238" t="str">
        <f>'Exercício 1'!A78</f>
        <v>PATRIMONIO</v>
      </c>
      <c r="B78" s="43"/>
      <c r="C78" s="49"/>
      <c r="D78" s="43"/>
      <c r="E78" s="43"/>
      <c r="F78" s="43"/>
      <c r="G78" s="43"/>
      <c r="H78" s="43"/>
      <c r="I78" s="43"/>
    </row>
    <row r="79" spans="1:9" ht="15.5" x14ac:dyDescent="0.35">
      <c r="A79" s="238"/>
      <c r="B79" s="43"/>
      <c r="C79" s="49"/>
      <c r="D79" s="43"/>
      <c r="E79" s="43"/>
      <c r="F79" s="43"/>
      <c r="G79" s="43"/>
      <c r="H79" s="43"/>
      <c r="I79" s="43"/>
    </row>
    <row r="80" spans="1:9" ht="15.5" x14ac:dyDescent="0.35">
      <c r="A80" s="239" t="str">
        <f>'Exercício 1'!A80</f>
        <v xml:space="preserve">     Capital</v>
      </c>
      <c r="B80" s="43">
        <v>11572953.384</v>
      </c>
      <c r="C80" s="49">
        <v>11638626.426999999</v>
      </c>
      <c r="D80" s="93">
        <v>11091142.093</v>
      </c>
      <c r="E80" s="43">
        <f>+D80</f>
        <v>11091142.093</v>
      </c>
      <c r="F80" s="43">
        <f t="shared" ref="F80:I80" si="34">+E80</f>
        <v>11091142.093</v>
      </c>
      <c r="G80" s="43">
        <f t="shared" si="34"/>
        <v>11091142.093</v>
      </c>
      <c r="H80" s="43">
        <f t="shared" si="34"/>
        <v>11091142.093</v>
      </c>
      <c r="I80" s="43">
        <f t="shared" si="34"/>
        <v>11091142.093</v>
      </c>
    </row>
    <row r="81" spans="1:11" ht="15.5" x14ac:dyDescent="0.35">
      <c r="A81" s="239" t="str">
        <f>'Exercício 1'!A81</f>
        <v xml:space="preserve">     Reservas</v>
      </c>
      <c r="B81" s="43">
        <v>5553097.8789999997</v>
      </c>
      <c r="C81" s="49">
        <v>5553097.8789999997</v>
      </c>
      <c r="D81" s="93">
        <v>5988067.9752412997</v>
      </c>
      <c r="E81" s="43">
        <f>+D81</f>
        <v>5988067.9752412997</v>
      </c>
      <c r="F81" s="43">
        <f t="shared" ref="F81:I86" si="35">+E81</f>
        <v>5988067.9752412997</v>
      </c>
      <c r="G81" s="43">
        <f t="shared" si="35"/>
        <v>5988067.9752412997</v>
      </c>
      <c r="H81" s="43">
        <f t="shared" si="35"/>
        <v>5988067.9752412997</v>
      </c>
      <c r="I81" s="43">
        <f t="shared" si="35"/>
        <v>5988067.9752412997</v>
      </c>
    </row>
    <row r="82" spans="1:11" ht="15.5" x14ac:dyDescent="0.35">
      <c r="A82" s="239" t="str">
        <f>'Exercício 1'!A82</f>
        <v xml:space="preserve">     Reavaliação de Patrimonio</v>
      </c>
      <c r="B82" s="43">
        <v>2239473.338</v>
      </c>
      <c r="C82" s="49">
        <v>2239476.9130000002</v>
      </c>
      <c r="D82" s="93">
        <v>2239476.9130000002</v>
      </c>
      <c r="E82" s="43">
        <f>+D82</f>
        <v>2239476.9130000002</v>
      </c>
      <c r="F82" s="43">
        <f t="shared" si="35"/>
        <v>2239476.9130000002</v>
      </c>
      <c r="G82" s="43">
        <f t="shared" si="35"/>
        <v>2239476.9130000002</v>
      </c>
      <c r="H82" s="43">
        <f t="shared" si="35"/>
        <v>2239476.9130000002</v>
      </c>
      <c r="I82" s="43">
        <f t="shared" si="35"/>
        <v>2239476.9130000002</v>
      </c>
    </row>
    <row r="83" spans="1:11" ht="15.5" x14ac:dyDescent="0.35">
      <c r="A83" s="239" t="str">
        <f>'Exercício 1'!A83</f>
        <v xml:space="preserve">     Resultados do exercício financeiro anual</v>
      </c>
      <c r="B83" s="43">
        <v>1014925.5525500012</v>
      </c>
      <c r="C83" s="49">
        <v>426632.01541299821</v>
      </c>
      <c r="D83" s="93">
        <v>2881489.4425194906</v>
      </c>
      <c r="E83" s="43">
        <f>+E32</f>
        <v>2881491.8854699992</v>
      </c>
      <c r="F83" s="43">
        <f t="shared" ref="F83:I83" si="36">+F32</f>
        <v>2881491.8854699992</v>
      </c>
      <c r="G83" s="43">
        <f t="shared" si="36"/>
        <v>2881491.8854699992</v>
      </c>
      <c r="H83" s="43">
        <f t="shared" si="36"/>
        <v>2881491.8854699992</v>
      </c>
      <c r="I83" s="43">
        <f t="shared" si="36"/>
        <v>2881491.8854699992</v>
      </c>
      <c r="K83" t="s">
        <v>19</v>
      </c>
    </row>
    <row r="84" spans="1:11" ht="15.5" x14ac:dyDescent="0.35">
      <c r="A84" s="239" t="str">
        <f>'Exercício 1'!A84</f>
        <v xml:space="preserve">     Resultados de exercício Anteriores</v>
      </c>
      <c r="B84" s="43">
        <v>-12147506.049109999</v>
      </c>
      <c r="C84" s="49">
        <v>-7995942.12916</v>
      </c>
      <c r="D84" s="93">
        <v>-9099613.6470583007</v>
      </c>
      <c r="E84" s="43">
        <f>+D84+D83</f>
        <v>-6218124.2045388101</v>
      </c>
      <c r="F84" s="43">
        <f t="shared" ref="F84:I84" si="37">+E84+E83</f>
        <v>-3336632.3190688109</v>
      </c>
      <c r="G84" s="43">
        <f t="shared" si="37"/>
        <v>-455140.43359881174</v>
      </c>
      <c r="H84" s="43">
        <f t="shared" si="37"/>
        <v>2426351.4518711874</v>
      </c>
      <c r="I84" s="43">
        <f t="shared" si="37"/>
        <v>5307843.3373411866</v>
      </c>
      <c r="K84" t="s">
        <v>20</v>
      </c>
    </row>
    <row r="85" spans="1:11" ht="15.5" x14ac:dyDescent="0.35">
      <c r="A85" s="239" t="str">
        <f>'Exercício 1'!A85</f>
        <v xml:space="preserve">     Superávit de Capital</v>
      </c>
      <c r="B85" s="43">
        <v>11502028.729</v>
      </c>
      <c r="C85" s="49">
        <v>18252028.728999998</v>
      </c>
      <c r="D85" s="93">
        <v>19807473.195999999</v>
      </c>
      <c r="E85" s="43">
        <f>+D85</f>
        <v>19807473.195999999</v>
      </c>
      <c r="F85" s="43">
        <f t="shared" si="35"/>
        <v>19807473.195999999</v>
      </c>
      <c r="G85" s="43">
        <f t="shared" si="35"/>
        <v>19807473.195999999</v>
      </c>
      <c r="H85" s="43">
        <f t="shared" si="35"/>
        <v>19807473.195999999</v>
      </c>
      <c r="I85" s="43">
        <f t="shared" si="35"/>
        <v>19807473.195999999</v>
      </c>
    </row>
    <row r="86" spans="1:11" ht="15.5" x14ac:dyDescent="0.35">
      <c r="A86" s="239" t="str">
        <f>'Exercício 1'!A86</f>
        <v xml:space="preserve">     Superávit das avaliações</v>
      </c>
      <c r="B86" s="43">
        <v>10208552.654999999</v>
      </c>
      <c r="C86" s="49">
        <v>10208552.654999999</v>
      </c>
      <c r="D86" s="93">
        <v>8653108.2280000001</v>
      </c>
      <c r="E86" s="43">
        <f>+D86</f>
        <v>8653108.2280000001</v>
      </c>
      <c r="F86" s="43">
        <f t="shared" si="35"/>
        <v>8653108.2280000001</v>
      </c>
      <c r="G86" s="43">
        <f t="shared" si="35"/>
        <v>8653108.2280000001</v>
      </c>
      <c r="H86" s="43">
        <f t="shared" si="35"/>
        <v>8653108.2280000001</v>
      </c>
      <c r="I86" s="43">
        <f t="shared" si="35"/>
        <v>8653108.2280000001</v>
      </c>
    </row>
    <row r="87" spans="1:11" ht="15.5" x14ac:dyDescent="0.35">
      <c r="A87" s="238" t="str">
        <f>'Exercício 1'!A87</f>
        <v xml:space="preserve">     Total do Patrimônio</v>
      </c>
      <c r="B87" s="52">
        <v>29943525.488440007</v>
      </c>
      <c r="C87" s="66">
        <v>40322472.489252992</v>
      </c>
      <c r="D87" s="52">
        <v>41561144.200702488</v>
      </c>
      <c r="E87" s="52">
        <f>+SUM(E80:E86)</f>
        <v>44442636.086172484</v>
      </c>
      <c r="F87" s="52">
        <f t="shared" ref="F87:I87" si="38">+SUM(F80:F86)</f>
        <v>47324127.971642479</v>
      </c>
      <c r="G87" s="52">
        <f t="shared" si="38"/>
        <v>50205619.857112482</v>
      </c>
      <c r="H87" s="52">
        <f t="shared" si="38"/>
        <v>53087111.742582485</v>
      </c>
      <c r="I87" s="52">
        <f t="shared" si="38"/>
        <v>55968603.628052481</v>
      </c>
    </row>
    <row r="88" spans="1:11" ht="15.5" x14ac:dyDescent="0.35">
      <c r="A88" s="238"/>
      <c r="B88" s="43"/>
      <c r="C88" s="49"/>
      <c r="D88" s="43"/>
      <c r="E88" s="43"/>
      <c r="F88" s="43"/>
      <c r="G88" s="43"/>
      <c r="H88" s="43"/>
      <c r="I88" s="43"/>
    </row>
    <row r="89" spans="1:11" ht="15.5" x14ac:dyDescent="0.35">
      <c r="A89" s="238" t="str">
        <f>'Exercício 1'!A89</f>
        <v xml:space="preserve">     Total do Pasivo e Patrimônio</v>
      </c>
      <c r="B89" s="77">
        <v>76243578.567124844</v>
      </c>
      <c r="C89" s="77">
        <v>102602485.8693614</v>
      </c>
      <c r="D89" s="76">
        <v>109839939.6281409</v>
      </c>
      <c r="E89" s="76">
        <f>+E76+E87</f>
        <v>112721431.5136109</v>
      </c>
      <c r="F89" s="76">
        <f t="shared" ref="F89:I89" si="39">+F76+F87</f>
        <v>115602923.39908089</v>
      </c>
      <c r="G89" s="76">
        <f t="shared" si="39"/>
        <v>118484415.28455089</v>
      </c>
      <c r="H89" s="76">
        <f t="shared" si="39"/>
        <v>121365907.17002089</v>
      </c>
      <c r="I89" s="76">
        <f t="shared" si="39"/>
        <v>124247399.05549088</v>
      </c>
    </row>
    <row r="90" spans="1:11" ht="15.5" x14ac:dyDescent="0.35">
      <c r="A90" s="237"/>
      <c r="B90" s="42"/>
      <c r="C90" s="78"/>
      <c r="D90" s="42"/>
      <c r="E90" s="42"/>
      <c r="F90" s="42"/>
      <c r="G90" s="42"/>
      <c r="H90" s="42"/>
      <c r="I90" s="42"/>
    </row>
    <row r="91" spans="1:11" ht="15.5" x14ac:dyDescent="0.35">
      <c r="A91" s="238" t="str">
        <f>'Exercício 1'!A91</f>
        <v>Check</v>
      </c>
      <c r="B91" s="79">
        <v>1.2354552745819092E-4</v>
      </c>
      <c r="C91" s="79">
        <v>1.2354552745819092E-4</v>
      </c>
      <c r="D91" s="79">
        <v>1.2354552745819092E-4</v>
      </c>
      <c r="E91" s="49">
        <f>+E53-E89</f>
        <v>-3.6542008966207504</v>
      </c>
      <c r="F91" s="49">
        <f t="shared" ref="F91:I91" si="40">+F53-F89</f>
        <v>-3.6542008817195892</v>
      </c>
      <c r="G91" s="49">
        <f t="shared" si="40"/>
        <v>-3.6542008817195892</v>
      </c>
      <c r="H91" s="49">
        <f t="shared" si="40"/>
        <v>-3.6542008817195892</v>
      </c>
      <c r="I91" s="49">
        <f t="shared" si="40"/>
        <v>-3.654200866818428</v>
      </c>
    </row>
    <row r="96" spans="1:11" ht="15.5" x14ac:dyDescent="0.35">
      <c r="A96" s="250"/>
      <c r="B96" s="39"/>
    </row>
    <row r="97" spans="1:10" ht="15.5" x14ac:dyDescent="0.35">
      <c r="A97" s="250"/>
      <c r="B97" s="39"/>
    </row>
    <row r="98" spans="1:10" ht="15.5" x14ac:dyDescent="0.35">
      <c r="A98" s="251" t="str">
        <f>'Exercício 1'!A98</f>
        <v>ATIVIDADES OPERACIONAIS</v>
      </c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.5" x14ac:dyDescent="0.35">
      <c r="A99" s="252" t="str">
        <f>'Exercício 1'!A99</f>
        <v>Lucro para o período (declaração de renda)</v>
      </c>
      <c r="B99" s="49"/>
      <c r="C99" s="49"/>
      <c r="D99" s="49"/>
      <c r="E99" s="49">
        <f>+E83</f>
        <v>2881491.8854699992</v>
      </c>
      <c r="F99" s="49">
        <f t="shared" ref="F99:I99" si="41">+F83</f>
        <v>2881491.8854699992</v>
      </c>
      <c r="G99" s="49">
        <f t="shared" si="41"/>
        <v>2881491.8854699992</v>
      </c>
      <c r="H99" s="49">
        <f t="shared" si="41"/>
        <v>2881491.8854699992</v>
      </c>
      <c r="I99" s="49">
        <f t="shared" si="41"/>
        <v>2881491.8854699992</v>
      </c>
      <c r="J99" s="49"/>
    </row>
    <row r="100" spans="1:10" ht="15.5" x14ac:dyDescent="0.35">
      <c r="A100" s="253" t="str">
        <f>'Exercício 1'!A100</f>
        <v>Itens não monetários:</v>
      </c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5.5" x14ac:dyDescent="0.35">
      <c r="A101" s="254" t="str">
        <f>'Exercício 1'!A101</f>
        <v>Depreciação</v>
      </c>
      <c r="B101" s="49"/>
      <c r="C101" s="49"/>
      <c r="D101" s="49"/>
      <c r="E101" s="49">
        <f>+E19</f>
        <v>4978771</v>
      </c>
      <c r="F101" s="49">
        <f t="shared" ref="F101:I102" si="42">+F19</f>
        <v>4978771</v>
      </c>
      <c r="G101" s="49">
        <f t="shared" si="42"/>
        <v>4978771</v>
      </c>
      <c r="H101" s="49">
        <f t="shared" si="42"/>
        <v>4978771</v>
      </c>
      <c r="I101" s="49">
        <f t="shared" si="42"/>
        <v>4978771</v>
      </c>
      <c r="J101" s="49"/>
    </row>
    <row r="102" spans="1:10" ht="15.5" x14ac:dyDescent="0.35">
      <c r="A102" s="254" t="str">
        <f>'Exercício 1'!A102</f>
        <v>Amortização Diferidos</v>
      </c>
      <c r="B102" s="49"/>
      <c r="C102" s="49"/>
      <c r="D102" s="49"/>
      <c r="E102" s="49">
        <f>+E20</f>
        <v>708486</v>
      </c>
      <c r="F102" s="49">
        <f t="shared" si="42"/>
        <v>708486</v>
      </c>
      <c r="G102" s="49">
        <f t="shared" si="42"/>
        <v>708486</v>
      </c>
      <c r="H102" s="49">
        <f t="shared" si="42"/>
        <v>708486</v>
      </c>
      <c r="I102" s="49">
        <f t="shared" si="42"/>
        <v>708486</v>
      </c>
      <c r="J102" s="49"/>
    </row>
    <row r="103" spans="1:10" ht="16" thickBot="1" x14ac:dyDescent="0.4">
      <c r="A103" s="255" t="str">
        <f>'Exercício 1'!A103</f>
        <v>CAPITAL GERADO NA OPERAÇÃO</v>
      </c>
      <c r="B103" s="100"/>
      <c r="C103" s="100"/>
      <c r="D103" s="100"/>
      <c r="E103" s="90">
        <f>+E99+E101+E102</f>
        <v>8568748.8854699992</v>
      </c>
      <c r="F103" s="90">
        <f t="shared" ref="F103:I103" si="43">+F99+F101+F102</f>
        <v>8568748.8854699992</v>
      </c>
      <c r="G103" s="90">
        <f t="shared" si="43"/>
        <v>8568748.8854699992</v>
      </c>
      <c r="H103" s="90">
        <f t="shared" si="43"/>
        <v>8568748.8854699992</v>
      </c>
      <c r="I103" s="90">
        <f t="shared" si="43"/>
        <v>8568748.8854699992</v>
      </c>
      <c r="J103" s="49"/>
    </row>
    <row r="104" spans="1:10" ht="16" thickTop="1" x14ac:dyDescent="0.35">
      <c r="A104" s="23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5.5" x14ac:dyDescent="0.35">
      <c r="A105" s="253" t="str">
        <f>'Exercício 1'!A105</f>
        <v>Mudanças nos itens operacionais</v>
      </c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ht="15.5" x14ac:dyDescent="0.35">
      <c r="A106" s="254" t="str">
        <f>'Exercício 1'!A106</f>
        <v>Investimentos Variados CP</v>
      </c>
      <c r="B106" s="49"/>
      <c r="C106" s="49"/>
      <c r="D106" s="49"/>
      <c r="E106" s="49">
        <f>+(E39-D39)</f>
        <v>0</v>
      </c>
      <c r="F106" s="49">
        <f t="shared" ref="F106:I108" si="44">+(F39-E39)</f>
        <v>0</v>
      </c>
      <c r="G106" s="49">
        <f t="shared" si="44"/>
        <v>0</v>
      </c>
      <c r="H106" s="49">
        <f t="shared" si="44"/>
        <v>0</v>
      </c>
      <c r="I106" s="49">
        <f t="shared" si="44"/>
        <v>0</v>
      </c>
      <c r="J106" s="49"/>
    </row>
    <row r="107" spans="1:10" ht="15.5" x14ac:dyDescent="0.35">
      <c r="A107" s="254" t="str">
        <f>'Exercício 1'!A107</f>
        <v>Devedores Variados</v>
      </c>
      <c r="B107" s="49"/>
      <c r="C107" s="49"/>
      <c r="D107" s="49"/>
      <c r="E107" s="49">
        <f>+(E40-D40)</f>
        <v>0</v>
      </c>
      <c r="F107" s="49">
        <f t="shared" si="44"/>
        <v>0</v>
      </c>
      <c r="G107" s="49">
        <f t="shared" si="44"/>
        <v>0</v>
      </c>
      <c r="H107" s="49">
        <f t="shared" si="44"/>
        <v>0</v>
      </c>
      <c r="I107" s="49">
        <f t="shared" si="44"/>
        <v>0</v>
      </c>
      <c r="J107" s="49"/>
    </row>
    <row r="108" spans="1:10" ht="15.5" x14ac:dyDescent="0.35">
      <c r="A108" s="254" t="str">
        <f>'Exercício 1'!A108</f>
        <v>Inventários Variados</v>
      </c>
      <c r="B108" s="49"/>
      <c r="C108" s="49"/>
      <c r="D108" s="49"/>
      <c r="E108" s="49">
        <f>+(E41-D41)</f>
        <v>0</v>
      </c>
      <c r="F108" s="49">
        <f t="shared" si="44"/>
        <v>0</v>
      </c>
      <c r="G108" s="49">
        <f t="shared" si="44"/>
        <v>0</v>
      </c>
      <c r="H108" s="49">
        <f t="shared" si="44"/>
        <v>0</v>
      </c>
      <c r="I108" s="49">
        <f t="shared" si="44"/>
        <v>0</v>
      </c>
      <c r="J108" s="49"/>
    </row>
    <row r="109" spans="1:10" ht="15.5" x14ac:dyDescent="0.35">
      <c r="A109" s="253"/>
      <c r="B109" s="49"/>
      <c r="C109" s="49"/>
      <c r="D109" s="49"/>
      <c r="E109" s="49"/>
      <c r="F109" s="49"/>
      <c r="G109" s="49"/>
      <c r="H109" s="49"/>
      <c r="I109" s="49"/>
      <c r="J109" s="49"/>
    </row>
    <row r="110" spans="1:10" ht="15.5" x14ac:dyDescent="0.35">
      <c r="A110" s="253" t="str">
        <f>'Exercício 1'!A110</f>
        <v>Passivo Curto Prazo</v>
      </c>
      <c r="B110" s="49"/>
      <c r="C110" s="49"/>
      <c r="D110" s="49"/>
      <c r="E110" s="49"/>
      <c r="F110" s="49"/>
      <c r="G110" s="49"/>
      <c r="H110" s="49"/>
      <c r="I110" s="49"/>
      <c r="J110" s="49"/>
    </row>
    <row r="111" spans="1:10" ht="15.5" x14ac:dyDescent="0.35">
      <c r="A111" s="254" t="str">
        <f>'Exercício 1'!A111</f>
        <v>Fornecedores - Variados</v>
      </c>
      <c r="B111" s="49"/>
      <c r="C111" s="49"/>
      <c r="D111" s="49"/>
      <c r="E111" s="49">
        <f>+(E59-D59)</f>
        <v>0</v>
      </c>
      <c r="F111" s="49">
        <f t="shared" ref="F111:I115" si="45">+(F59-E59)</f>
        <v>0</v>
      </c>
      <c r="G111" s="49">
        <f t="shared" si="45"/>
        <v>0</v>
      </c>
      <c r="H111" s="49">
        <f t="shared" si="45"/>
        <v>0</v>
      </c>
      <c r="I111" s="49">
        <f t="shared" si="45"/>
        <v>0</v>
      </c>
      <c r="J111" s="49"/>
    </row>
    <row r="112" spans="1:10" ht="15.5" x14ac:dyDescent="0.35">
      <c r="A112" s="254" t="str">
        <f>'Exercício 1'!A112</f>
        <v>Custos e despesas a pagar - Variados</v>
      </c>
      <c r="B112" s="49"/>
      <c r="C112" s="49"/>
      <c r="D112" s="49"/>
      <c r="E112" s="49">
        <f>+(E60-D60)</f>
        <v>0</v>
      </c>
      <c r="F112" s="49">
        <f t="shared" si="45"/>
        <v>0</v>
      </c>
      <c r="G112" s="49">
        <f t="shared" si="45"/>
        <v>0</v>
      </c>
      <c r="H112" s="49">
        <f t="shared" si="45"/>
        <v>0</v>
      </c>
      <c r="I112" s="49">
        <f t="shared" si="45"/>
        <v>0</v>
      </c>
      <c r="J112" s="49"/>
    </row>
    <row r="113" spans="1:10" ht="15.5" x14ac:dyDescent="0.35">
      <c r="A113" s="254" t="str">
        <f>'Exercício 1'!A113</f>
        <v>Impostos, taxas e encargos - Variados</v>
      </c>
      <c r="B113" s="49"/>
      <c r="C113" s="49"/>
      <c r="D113" s="49"/>
      <c r="E113" s="49">
        <f>+(E61-D61)</f>
        <v>0</v>
      </c>
      <c r="F113" s="49">
        <f t="shared" si="45"/>
        <v>0</v>
      </c>
      <c r="G113" s="49">
        <f t="shared" si="45"/>
        <v>0</v>
      </c>
      <c r="H113" s="49">
        <f t="shared" si="45"/>
        <v>0</v>
      </c>
      <c r="I113" s="49">
        <f t="shared" si="45"/>
        <v>0</v>
      </c>
      <c r="J113" s="49"/>
    </row>
    <row r="114" spans="1:10" ht="15.5" x14ac:dyDescent="0.35">
      <c r="A114" s="254" t="str">
        <f>'Exercício 1'!A114</f>
        <v>Obrigações trabalhistas - Variados</v>
      </c>
      <c r="B114" s="49"/>
      <c r="C114" s="49"/>
      <c r="D114" s="49"/>
      <c r="E114" s="49">
        <f>+(E62-D62)</f>
        <v>0</v>
      </c>
      <c r="F114" s="49">
        <f t="shared" si="45"/>
        <v>0</v>
      </c>
      <c r="G114" s="49">
        <f t="shared" si="45"/>
        <v>0</v>
      </c>
      <c r="H114" s="49">
        <f t="shared" si="45"/>
        <v>0</v>
      </c>
      <c r="I114" s="49">
        <f t="shared" si="45"/>
        <v>0</v>
      </c>
      <c r="J114" s="49"/>
    </row>
    <row r="115" spans="1:10" ht="15.5" x14ac:dyDescent="0.35">
      <c r="A115" s="254" t="str">
        <f>'Exercício 1'!A115</f>
        <v>Outros Passivos - Variados</v>
      </c>
      <c r="B115" s="49"/>
      <c r="C115" s="49"/>
      <c r="D115" s="49"/>
      <c r="E115" s="49">
        <f>+(E63-D63)</f>
        <v>0</v>
      </c>
      <c r="F115" s="49">
        <f t="shared" si="45"/>
        <v>0</v>
      </c>
      <c r="G115" s="49">
        <f t="shared" si="45"/>
        <v>0</v>
      </c>
      <c r="H115" s="49">
        <f t="shared" si="45"/>
        <v>0</v>
      </c>
      <c r="I115" s="49">
        <f t="shared" si="45"/>
        <v>0</v>
      </c>
      <c r="J115" s="49"/>
    </row>
    <row r="116" spans="1:10" ht="15.5" x14ac:dyDescent="0.35">
      <c r="A116" s="256"/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 ht="15.5" x14ac:dyDescent="0.35">
      <c r="A117" s="253" t="str">
        <f>'Exercício 1'!A117</f>
        <v>Passivo Longo Prazo</v>
      </c>
      <c r="B117" s="49"/>
      <c r="C117" s="49"/>
      <c r="D117" s="49"/>
      <c r="E117" s="49"/>
      <c r="F117" s="49"/>
      <c r="G117" s="49"/>
      <c r="H117" s="49"/>
      <c r="I117" s="49"/>
      <c r="J117" s="49"/>
    </row>
    <row r="118" spans="1:10" ht="15.5" x14ac:dyDescent="0.35">
      <c r="A118" s="254" t="str">
        <f>'Exercício 1'!A118</f>
        <v>Fornecedores - Variados</v>
      </c>
      <c r="B118" s="49"/>
      <c r="C118" s="49"/>
      <c r="D118" s="49"/>
      <c r="E118" s="49">
        <f>+E70-D70</f>
        <v>0</v>
      </c>
      <c r="F118" s="49">
        <f t="shared" ref="F118:I118" si="46">+F70-E70</f>
        <v>0</v>
      </c>
      <c r="G118" s="49">
        <f t="shared" si="46"/>
        <v>0</v>
      </c>
      <c r="H118" s="49">
        <f t="shared" si="46"/>
        <v>0</v>
      </c>
      <c r="I118" s="49">
        <f t="shared" si="46"/>
        <v>0</v>
      </c>
      <c r="J118" s="49"/>
    </row>
    <row r="119" spans="1:10" ht="15.5" x14ac:dyDescent="0.35">
      <c r="A119" s="254" t="str">
        <f>'Exercício 1'!A119</f>
        <v>Custos e despesas a pagar - Variados</v>
      </c>
      <c r="B119" s="49"/>
      <c r="C119" s="49"/>
      <c r="D119" s="49"/>
      <c r="E119" s="49">
        <f t="shared" ref="E119:I121" si="47">+E71-D71</f>
        <v>0</v>
      </c>
      <c r="F119" s="49">
        <f t="shared" si="47"/>
        <v>0</v>
      </c>
      <c r="G119" s="49">
        <f t="shared" si="47"/>
        <v>0</v>
      </c>
      <c r="H119" s="49">
        <f t="shared" si="47"/>
        <v>0</v>
      </c>
      <c r="I119" s="49">
        <f t="shared" si="47"/>
        <v>0</v>
      </c>
      <c r="J119" s="49"/>
    </row>
    <row r="120" spans="1:10" ht="15.5" x14ac:dyDescent="0.35">
      <c r="A120" s="254" t="str">
        <f>'Exercício 1'!A120</f>
        <v>Obrigações trabalhistas - Variadas</v>
      </c>
      <c r="B120" s="49"/>
      <c r="C120" s="49"/>
      <c r="D120" s="49"/>
      <c r="E120" s="49">
        <f t="shared" si="47"/>
        <v>0</v>
      </c>
      <c r="F120" s="49">
        <f t="shared" si="47"/>
        <v>0</v>
      </c>
      <c r="G120" s="49">
        <f t="shared" si="47"/>
        <v>0</v>
      </c>
      <c r="H120" s="49">
        <f t="shared" si="47"/>
        <v>0</v>
      </c>
      <c r="I120" s="49">
        <f t="shared" si="47"/>
        <v>0</v>
      </c>
      <c r="J120" s="49"/>
    </row>
    <row r="121" spans="1:10" ht="15.5" x14ac:dyDescent="0.35">
      <c r="A121" s="254" t="str">
        <f>'Exercício 1'!A121</f>
        <v>Var Obligaciones laborales - Variados</v>
      </c>
      <c r="B121" s="49"/>
      <c r="C121" s="49"/>
      <c r="D121" s="49"/>
      <c r="E121" s="49">
        <f t="shared" si="47"/>
        <v>0</v>
      </c>
      <c r="F121" s="49">
        <f t="shared" si="47"/>
        <v>0</v>
      </c>
      <c r="G121" s="49">
        <f t="shared" si="47"/>
        <v>0</v>
      </c>
      <c r="H121" s="49">
        <f t="shared" si="47"/>
        <v>0</v>
      </c>
      <c r="I121" s="49">
        <f t="shared" si="47"/>
        <v>0</v>
      </c>
      <c r="J121" s="49"/>
    </row>
    <row r="122" spans="1:10" ht="15.5" x14ac:dyDescent="0.35">
      <c r="A122" s="256"/>
      <c r="B122" s="49"/>
      <c r="C122" s="49"/>
      <c r="D122" s="49"/>
      <c r="E122" s="49"/>
      <c r="F122" s="49"/>
      <c r="G122" s="49"/>
      <c r="H122" s="49"/>
      <c r="I122" s="49"/>
      <c r="J122" s="49"/>
    </row>
    <row r="123" spans="1:10" ht="15.5" x14ac:dyDescent="0.35">
      <c r="A123" s="251" t="str">
        <f>'Exercício 1'!A123</f>
        <v>FLUXO DE CAIXA LÍQUIDO DAS ATIVIDADES OPERACIONAIS</v>
      </c>
      <c r="B123" s="49"/>
      <c r="C123" s="49"/>
      <c r="D123" s="49"/>
      <c r="E123" s="49">
        <f>+-SUM(E106:E108)+SUM(E111:E115)+SUM(E118:E121)</f>
        <v>0</v>
      </c>
      <c r="F123" s="49">
        <f t="shared" ref="F123:I123" si="48">+-SUM(F106:F108)+SUM(F111:F115)+SUM(F118:F121)</f>
        <v>0</v>
      </c>
      <c r="G123" s="49">
        <f t="shared" si="48"/>
        <v>0</v>
      </c>
      <c r="H123" s="49">
        <f t="shared" si="48"/>
        <v>0</v>
      </c>
      <c r="I123" s="49">
        <f t="shared" si="48"/>
        <v>0</v>
      </c>
      <c r="J123" s="49"/>
    </row>
    <row r="124" spans="1:10" ht="15.5" x14ac:dyDescent="0.35">
      <c r="A124" s="253"/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5" x14ac:dyDescent="0.35">
      <c r="A125" s="251" t="str">
        <f>'Exercício 1'!A125</f>
        <v>ATIVIDADES DE INVESTIMENTO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5" x14ac:dyDescent="0.35">
      <c r="A126" s="253"/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 ht="15.5" x14ac:dyDescent="0.35">
      <c r="A127" s="252" t="str">
        <f>'Exercício 1'!A127</f>
        <v xml:space="preserve">Investimentos LP - Variados </v>
      </c>
      <c r="B127" s="49"/>
      <c r="C127" s="49"/>
      <c r="D127" s="49"/>
      <c r="E127" s="49">
        <f>+(E45-D45)</f>
        <v>0</v>
      </c>
      <c r="F127" s="49">
        <f t="shared" ref="F127:I128" si="49">+(F45-E45)</f>
        <v>0</v>
      </c>
      <c r="G127" s="49">
        <f t="shared" si="49"/>
        <v>0</v>
      </c>
      <c r="H127" s="49">
        <f t="shared" si="49"/>
        <v>0</v>
      </c>
      <c r="I127" s="49">
        <f t="shared" si="49"/>
        <v>0</v>
      </c>
      <c r="J127" s="49"/>
    </row>
    <row r="128" spans="1:10" ht="15.5" x14ac:dyDescent="0.35">
      <c r="A128" s="252" t="str">
        <f>'Exercício 1'!A128</f>
        <v xml:space="preserve">Instalações e equipamentos - Variados </v>
      </c>
      <c r="B128" s="49"/>
      <c r="C128" s="49"/>
      <c r="D128" s="49"/>
      <c r="E128" s="49">
        <f>+(E46-D46)</f>
        <v>0</v>
      </c>
      <c r="F128" s="49">
        <f t="shared" si="49"/>
        <v>0</v>
      </c>
      <c r="G128" s="49">
        <f t="shared" si="49"/>
        <v>0</v>
      </c>
      <c r="H128" s="49">
        <f t="shared" si="49"/>
        <v>0</v>
      </c>
      <c r="I128" s="49">
        <f t="shared" si="49"/>
        <v>0</v>
      </c>
      <c r="J128" s="49"/>
    </row>
    <row r="129" spans="1:10" ht="15.5" x14ac:dyDescent="0.35">
      <c r="A129" s="252" t="str">
        <f>'Exercício 1'!A129</f>
        <v>Outros Ativos - Variados</v>
      </c>
      <c r="B129" s="49"/>
      <c r="C129" s="49"/>
      <c r="D129" s="49"/>
      <c r="E129" s="49">
        <f>+(E48-D48)</f>
        <v>0</v>
      </c>
      <c r="F129" s="49">
        <f t="shared" ref="F129:I129" si="50">+(F48-E48)</f>
        <v>0</v>
      </c>
      <c r="G129" s="49">
        <f t="shared" si="50"/>
        <v>0</v>
      </c>
      <c r="H129" s="49">
        <f t="shared" si="50"/>
        <v>0</v>
      </c>
      <c r="I129" s="49">
        <f t="shared" si="50"/>
        <v>0</v>
      </c>
      <c r="J129" s="49"/>
    </row>
    <row r="130" spans="1:10" ht="15.5" x14ac:dyDescent="0.35">
      <c r="A130" s="253"/>
      <c r="B130" s="49"/>
      <c r="C130" s="49"/>
      <c r="D130" s="49"/>
      <c r="E130" s="49"/>
      <c r="F130" s="49"/>
      <c r="G130" s="49"/>
      <c r="H130" s="49"/>
      <c r="I130" s="49"/>
      <c r="J130" s="49"/>
    </row>
    <row r="131" spans="1:10" ht="15.5" x14ac:dyDescent="0.35">
      <c r="A131" s="251" t="str">
        <f>'Exercício 1'!A131</f>
        <v>FLUXO DE CAIXA LÍQUIDO NA ATIVIDADE DE INVESTIMENTO</v>
      </c>
      <c r="B131" s="49"/>
      <c r="C131" s="49"/>
      <c r="D131" s="49"/>
      <c r="E131" s="49">
        <f>+-SUM(E127:E129)</f>
        <v>0</v>
      </c>
      <c r="F131" s="49">
        <f t="shared" ref="F131:I131" si="51">+-SUM(F127:F129)</f>
        <v>0</v>
      </c>
      <c r="G131" s="49">
        <f t="shared" si="51"/>
        <v>0</v>
      </c>
      <c r="H131" s="49">
        <f t="shared" si="51"/>
        <v>0</v>
      </c>
      <c r="I131" s="49">
        <f t="shared" si="51"/>
        <v>0</v>
      </c>
      <c r="J131" s="49"/>
    </row>
    <row r="132" spans="1:10" ht="15.5" x14ac:dyDescent="0.35">
      <c r="A132" s="253"/>
      <c r="B132" s="49"/>
      <c r="C132" s="49"/>
      <c r="D132" s="49"/>
      <c r="E132" s="49"/>
      <c r="F132" s="49"/>
      <c r="G132" s="49"/>
      <c r="H132" s="49"/>
      <c r="I132" s="49"/>
      <c r="J132" s="49"/>
    </row>
    <row r="133" spans="1:10" ht="15.5" x14ac:dyDescent="0.35">
      <c r="A133" s="251" t="str">
        <f>'Exercício 1'!A133</f>
        <v>ATIVIDADES DE FINANCIAMENTO</v>
      </c>
      <c r="B133" s="49"/>
      <c r="C133" s="49"/>
      <c r="D133" s="49"/>
      <c r="E133" s="49"/>
      <c r="F133" s="49"/>
      <c r="G133" s="49"/>
      <c r="H133" s="49"/>
      <c r="I133" s="49"/>
      <c r="J133" s="49"/>
    </row>
    <row r="134" spans="1:10" ht="15.5" x14ac:dyDescent="0.35">
      <c r="A134" s="253"/>
      <c r="B134" s="49"/>
      <c r="C134" s="49"/>
      <c r="D134" s="49"/>
      <c r="E134" s="49"/>
      <c r="F134" s="49"/>
      <c r="G134" s="49"/>
      <c r="H134" s="49"/>
      <c r="I134" s="49"/>
      <c r="J134" s="49"/>
    </row>
    <row r="135" spans="1:10" ht="15.5" x14ac:dyDescent="0.35">
      <c r="A135" s="252" t="str">
        <f>'Exercício 1'!A135</f>
        <v>Novos Empréstimos</v>
      </c>
      <c r="B135" s="49"/>
      <c r="C135" s="49"/>
      <c r="D135" s="49"/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/>
    </row>
    <row r="136" spans="1:10" ht="15.5" x14ac:dyDescent="0.35">
      <c r="A136" s="253"/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ht="15.5" x14ac:dyDescent="0.35">
      <c r="A137" s="253" t="str">
        <f>'Exercício 1'!A137</f>
        <v>Pagamento de Obrigações Financeiras</v>
      </c>
      <c r="B137" s="49"/>
      <c r="C137" s="49"/>
      <c r="D137" s="49"/>
      <c r="E137" s="49">
        <f>+SUM(E138:E140)</f>
        <v>0</v>
      </c>
      <c r="F137" s="49">
        <f t="shared" ref="F137:I137" si="52">+SUM(F138:F140)</f>
        <v>0</v>
      </c>
      <c r="G137" s="49">
        <f t="shared" si="52"/>
        <v>0</v>
      </c>
      <c r="H137" s="49">
        <f t="shared" si="52"/>
        <v>0</v>
      </c>
      <c r="I137" s="49">
        <f t="shared" si="52"/>
        <v>0</v>
      </c>
      <c r="J137" s="49"/>
    </row>
    <row r="138" spans="1:10" ht="15.5" x14ac:dyDescent="0.35">
      <c r="A138" s="257" t="str">
        <f>'Exercício 1'!A138</f>
        <v>Obrigações Financeiras CP</v>
      </c>
      <c r="B138" s="49"/>
      <c r="C138" s="49"/>
      <c r="D138" s="49"/>
      <c r="E138" s="49">
        <f>+E58-D58</f>
        <v>0</v>
      </c>
      <c r="F138" s="49">
        <f t="shared" ref="F138:I138" si="53">+F58-E58</f>
        <v>0</v>
      </c>
      <c r="G138" s="49">
        <f t="shared" si="53"/>
        <v>0</v>
      </c>
      <c r="H138" s="49">
        <f t="shared" si="53"/>
        <v>0</v>
      </c>
      <c r="I138" s="49">
        <f t="shared" si="53"/>
        <v>0</v>
      </c>
      <c r="J138" s="49"/>
    </row>
    <row r="139" spans="1:10" ht="15.5" x14ac:dyDescent="0.35">
      <c r="A139" s="257" t="str">
        <f>'Exercício 1'!A139</f>
        <v xml:space="preserve">Obrigações Financeiras MP </v>
      </c>
      <c r="B139" s="49"/>
      <c r="C139" s="49"/>
      <c r="D139" s="49"/>
      <c r="E139" s="49">
        <f>+E66-D66</f>
        <v>0</v>
      </c>
      <c r="F139" s="49"/>
      <c r="G139" s="49"/>
      <c r="H139" s="49"/>
      <c r="I139" s="49"/>
      <c r="J139" s="49"/>
    </row>
    <row r="140" spans="1:10" ht="15.5" x14ac:dyDescent="0.35">
      <c r="A140" s="257" t="str">
        <f>'Exercício 1'!A140</f>
        <v>Obrigações Financeiras LP</v>
      </c>
      <c r="B140" s="49"/>
      <c r="C140" s="49"/>
      <c r="D140" s="49"/>
      <c r="E140" s="49">
        <f>+E68-D68</f>
        <v>0</v>
      </c>
      <c r="F140" s="49">
        <f t="shared" ref="F140:I140" si="54">+F68-E68</f>
        <v>0</v>
      </c>
      <c r="G140" s="49">
        <f t="shared" si="54"/>
        <v>0</v>
      </c>
      <c r="H140" s="49">
        <f t="shared" si="54"/>
        <v>0</v>
      </c>
      <c r="I140" s="49">
        <f t="shared" si="54"/>
        <v>0</v>
      </c>
      <c r="J140" s="49"/>
    </row>
    <row r="141" spans="1:10" ht="15.5" x14ac:dyDescent="0.35">
      <c r="A141" s="258"/>
      <c r="B141" s="49"/>
      <c r="C141" s="49"/>
      <c r="D141" s="49"/>
      <c r="E141" s="49"/>
      <c r="F141" s="49"/>
      <c r="G141" s="49"/>
      <c r="H141" s="49"/>
      <c r="I141" s="49"/>
      <c r="J141" s="49"/>
    </row>
    <row r="142" spans="1:10" ht="15.5" x14ac:dyDescent="0.35">
      <c r="A142" s="258"/>
      <c r="B142" s="49"/>
      <c r="C142" s="49"/>
      <c r="D142" s="49"/>
      <c r="E142" s="49"/>
      <c r="F142" s="49"/>
      <c r="G142" s="49"/>
      <c r="H142" s="49"/>
      <c r="I142" s="49"/>
      <c r="J142" s="49"/>
    </row>
    <row r="143" spans="1:10" ht="15.5" x14ac:dyDescent="0.35">
      <c r="A143" s="251" t="str">
        <f>'Exercício 1'!A143</f>
        <v>FLUXO DE CAIXA NA ATIVIDADE DE FINANCIAMENTO</v>
      </c>
      <c r="B143" s="49"/>
      <c r="C143" s="49"/>
      <c r="D143" s="49"/>
      <c r="E143" s="49">
        <f>+E135+E137</f>
        <v>0</v>
      </c>
      <c r="F143" s="49">
        <f t="shared" ref="F143:I143" si="55">+F135+F137</f>
        <v>0</v>
      </c>
      <c r="G143" s="49">
        <f t="shared" si="55"/>
        <v>0</v>
      </c>
      <c r="H143" s="49">
        <f t="shared" si="55"/>
        <v>0</v>
      </c>
      <c r="I143" s="49">
        <f t="shared" si="55"/>
        <v>0</v>
      </c>
      <c r="J143" s="49"/>
    </row>
    <row r="144" spans="1:10" ht="15.5" x14ac:dyDescent="0.35">
      <c r="A144" s="251"/>
      <c r="B144" s="49"/>
      <c r="C144" s="49"/>
      <c r="D144" s="49"/>
      <c r="E144" s="49"/>
      <c r="F144" s="49"/>
      <c r="G144" s="49"/>
      <c r="H144" s="49"/>
      <c r="I144" s="49"/>
      <c r="J144" s="49"/>
    </row>
    <row r="145" spans="1:10" ht="15.5" x14ac:dyDescent="0.35">
      <c r="A145" s="251" t="str">
        <f>'Exercício 1'!A145</f>
        <v>APORTE  DE CAPITAL</v>
      </c>
      <c r="B145" s="49"/>
      <c r="C145" s="49"/>
      <c r="D145" s="49"/>
      <c r="E145" s="49"/>
      <c r="F145" s="49"/>
      <c r="G145" s="49"/>
      <c r="H145" s="49"/>
      <c r="I145" s="49"/>
      <c r="J145" s="49"/>
    </row>
    <row r="146" spans="1:10" ht="15.5" x14ac:dyDescent="0.35">
      <c r="A146" s="251" t="str">
        <f>'Exercício 1'!A146</f>
        <v>DISTRIBUIÇÃO DE DIVIDENDOS</v>
      </c>
      <c r="B146" s="49">
        <v>0</v>
      </c>
      <c r="C146" s="49"/>
      <c r="D146" s="49"/>
      <c r="E146" s="49"/>
      <c r="F146" s="49"/>
      <c r="G146" s="49"/>
      <c r="H146" s="49"/>
      <c r="I146" s="49"/>
      <c r="J146" s="49"/>
    </row>
    <row r="147" spans="1:10" ht="15.5" x14ac:dyDescent="0.35">
      <c r="A147" s="251"/>
      <c r="B147" s="49"/>
      <c r="C147" s="49"/>
      <c r="D147" s="49"/>
      <c r="E147" s="49"/>
      <c r="F147" s="49"/>
      <c r="G147" s="49"/>
      <c r="H147" s="49"/>
      <c r="I147" s="49"/>
      <c r="J147" s="49"/>
    </row>
    <row r="148" spans="1:10" ht="15.5" x14ac:dyDescent="0.35">
      <c r="A148" s="251"/>
      <c r="B148" s="49"/>
      <c r="C148" s="49"/>
      <c r="D148" s="49"/>
      <c r="E148" s="49"/>
      <c r="F148" s="49"/>
      <c r="G148" s="49"/>
      <c r="H148" s="49"/>
      <c r="I148" s="49"/>
      <c r="J148" s="49"/>
    </row>
    <row r="149" spans="1:10" ht="15.5" x14ac:dyDescent="0.35">
      <c r="A149" s="251" t="str">
        <f>'Exercício 1'!A149</f>
        <v>FLUXO DE CAIXA LÍQUIDO</v>
      </c>
      <c r="B149" s="49"/>
      <c r="C149" s="49"/>
      <c r="D149" s="49"/>
      <c r="E149" s="49">
        <f>+E103+E123+E131+E143</f>
        <v>8568748.8854699992</v>
      </c>
      <c r="F149" s="49">
        <f t="shared" ref="F149:I149" si="56">+F103+F123+F131+F143</f>
        <v>8568748.8854699992</v>
      </c>
      <c r="G149" s="49">
        <f t="shared" si="56"/>
        <v>8568748.8854699992</v>
      </c>
      <c r="H149" s="49">
        <f t="shared" si="56"/>
        <v>8568748.8854699992</v>
      </c>
      <c r="I149" s="49">
        <f t="shared" si="56"/>
        <v>8568748.8854699992</v>
      </c>
      <c r="J149" s="49"/>
    </row>
    <row r="150" spans="1:10" ht="15.5" x14ac:dyDescent="0.35">
      <c r="A150" s="253"/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1:10" ht="15.5" x14ac:dyDescent="0.35">
      <c r="A151" s="253" t="str">
        <f>'Exercício 1'!A151</f>
        <v>EFETIVO ANO ANTERIOR</v>
      </c>
      <c r="B151" s="49"/>
      <c r="C151" s="49"/>
      <c r="D151" s="49"/>
      <c r="E151" s="49">
        <f>+D153</f>
        <v>305288</v>
      </c>
      <c r="F151" s="49">
        <f>+E153</f>
        <v>8874036.8854699992</v>
      </c>
      <c r="G151" s="49">
        <f>+F153</f>
        <v>17442785.770939998</v>
      </c>
      <c r="H151" s="49">
        <f>+G153</f>
        <v>26011534.656409997</v>
      </c>
      <c r="I151" s="49">
        <f>+H153</f>
        <v>34580283.541879997</v>
      </c>
      <c r="J151" s="49"/>
    </row>
    <row r="152" spans="1:10" ht="15.5" x14ac:dyDescent="0.35">
      <c r="A152" s="253"/>
      <c r="B152" s="49"/>
      <c r="C152" s="49"/>
      <c r="D152" s="49"/>
      <c r="E152" s="49"/>
      <c r="F152" s="49"/>
      <c r="G152" s="49"/>
      <c r="H152" s="49"/>
      <c r="I152" s="49"/>
      <c r="J152" s="49"/>
    </row>
    <row r="153" spans="1:10" ht="16" thickBot="1" x14ac:dyDescent="0.4">
      <c r="A153" s="251" t="str">
        <f>'Exercício 1'!A153</f>
        <v>EFETIVO FINAL DO ANO</v>
      </c>
      <c r="B153" s="49"/>
      <c r="C153" s="49"/>
      <c r="D153" s="90">
        <f>+D38</f>
        <v>305288</v>
      </c>
      <c r="E153" s="90">
        <f>+E149+E151</f>
        <v>8874036.8854699992</v>
      </c>
      <c r="F153" s="90">
        <f t="shared" ref="F153:I153" si="57">+F149+F151</f>
        <v>17442785.770939998</v>
      </c>
      <c r="G153" s="90">
        <f t="shared" si="57"/>
        <v>26011534.656409997</v>
      </c>
      <c r="H153" s="90">
        <f t="shared" si="57"/>
        <v>34580283.541879997</v>
      </c>
      <c r="I153" s="90">
        <f t="shared" si="57"/>
        <v>43149032.42735</v>
      </c>
      <c r="J153" s="49"/>
    </row>
    <row r="154" spans="1:10" ht="16" thickTop="1" x14ac:dyDescent="0.35">
      <c r="A154" s="259"/>
      <c r="B154" s="49"/>
      <c r="C154" s="49"/>
      <c r="D154" s="49"/>
      <c r="E154" s="49"/>
      <c r="F154" s="49"/>
      <c r="G154" s="49"/>
      <c r="H154" s="49"/>
      <c r="I154" s="49"/>
      <c r="J154" s="49"/>
    </row>
    <row r="155" spans="1:10" ht="15.5" x14ac:dyDescent="0.35">
      <c r="A155" s="239"/>
      <c r="B155" s="49"/>
      <c r="C155" s="49"/>
      <c r="D155" s="49"/>
      <c r="E155" s="49"/>
      <c r="F155" s="49"/>
      <c r="G155" s="49"/>
      <c r="H155" s="49"/>
      <c r="I155" s="49"/>
      <c r="J155" s="49"/>
    </row>
    <row r="156" spans="1:10" ht="15.5" x14ac:dyDescent="0.35">
      <c r="A156" s="260"/>
      <c r="B156" s="49"/>
      <c r="C156" s="49"/>
      <c r="D156" s="49"/>
      <c r="E156" s="49"/>
      <c r="F156" s="49"/>
      <c r="G156" s="49"/>
      <c r="H156" s="49"/>
      <c r="I156" s="49"/>
      <c r="J156" s="49"/>
    </row>
    <row r="157" spans="1:10" ht="15.5" x14ac:dyDescent="0.35">
      <c r="B157" s="49"/>
      <c r="C157" s="49"/>
      <c r="D157" s="49"/>
      <c r="E157" s="49"/>
      <c r="F157" s="49"/>
      <c r="G157" s="49"/>
      <c r="H157" s="49"/>
      <c r="I157" s="49"/>
      <c r="J157" s="49"/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K180"/>
  <sheetViews>
    <sheetView showGridLines="0" zoomScale="96" zoomScaleNormal="90" zoomScalePageLayoutView="90" workbookViewId="0">
      <selection activeCell="A3" sqref="A3"/>
    </sheetView>
  </sheetViews>
  <sheetFormatPr defaultColWidth="10.90625" defaultRowHeight="14.5" outlineLevelRow="1" x14ac:dyDescent="0.35"/>
  <cols>
    <col min="1" max="1" width="42.453125" bestFit="1" customWidth="1"/>
    <col min="2" max="3" width="12.6328125" bestFit="1" customWidth="1"/>
    <col min="4" max="4" width="14.81640625" customWidth="1"/>
    <col min="5" max="5" width="13.90625" bestFit="1" customWidth="1"/>
    <col min="6" max="9" width="13.81640625" bestFit="1" customWidth="1"/>
    <col min="10" max="10" width="13.453125" customWidth="1"/>
    <col min="11" max="11" width="11.1796875" customWidth="1"/>
  </cols>
  <sheetData>
    <row r="1" spans="1:11" ht="15.5" x14ac:dyDescent="0.35">
      <c r="A1" s="8" t="s">
        <v>5</v>
      </c>
      <c r="B1" s="9"/>
      <c r="C1" s="9"/>
      <c r="D1" s="9"/>
      <c r="E1" s="9"/>
      <c r="F1" s="9"/>
      <c r="G1" s="9"/>
      <c r="H1" s="9"/>
      <c r="I1" s="9"/>
    </row>
    <row r="2" spans="1:11" x14ac:dyDescent="0.35">
      <c r="A2" s="30" t="s">
        <v>3</v>
      </c>
      <c r="B2" s="10"/>
      <c r="C2" s="10"/>
      <c r="D2" s="10"/>
      <c r="E2" s="10"/>
      <c r="F2" s="10"/>
      <c r="G2" s="10"/>
      <c r="H2" s="10"/>
      <c r="I2" s="10"/>
    </row>
    <row r="3" spans="1:11" x14ac:dyDescent="0.35">
      <c r="A3" s="30" t="s">
        <v>141</v>
      </c>
      <c r="B3" s="10"/>
      <c r="C3" s="10"/>
      <c r="D3" s="10"/>
      <c r="E3" s="10"/>
      <c r="F3" s="10"/>
      <c r="G3" s="10"/>
      <c r="H3" s="10"/>
      <c r="I3" s="10"/>
    </row>
    <row r="4" spans="1:11" x14ac:dyDescent="0.35">
      <c r="A4" s="265" t="s">
        <v>142</v>
      </c>
      <c r="B4" s="10"/>
      <c r="C4" s="10"/>
      <c r="D4" s="10"/>
      <c r="E4" s="10"/>
      <c r="F4" s="10"/>
      <c r="G4" s="10"/>
      <c r="H4" s="10"/>
      <c r="I4" s="10"/>
    </row>
    <row r="5" spans="1:11" x14ac:dyDescent="0.35">
      <c r="A5" s="265" t="s">
        <v>323</v>
      </c>
      <c r="B5" s="10"/>
      <c r="C5" s="10"/>
      <c r="D5" s="10"/>
      <c r="E5" s="10"/>
      <c r="F5" s="10"/>
      <c r="G5" s="10"/>
      <c r="H5" s="10"/>
      <c r="I5" s="10"/>
    </row>
    <row r="6" spans="1:11" x14ac:dyDescent="0.35">
      <c r="A6" s="270" t="s">
        <v>324</v>
      </c>
      <c r="B6" s="10"/>
      <c r="C6" s="10"/>
      <c r="D6" s="10"/>
      <c r="E6" s="10"/>
      <c r="F6" s="10"/>
      <c r="G6" s="10"/>
      <c r="H6" s="10"/>
      <c r="I6" s="10"/>
    </row>
    <row r="7" spans="1:11" x14ac:dyDescent="0.35">
      <c r="A7" s="270" t="s">
        <v>325</v>
      </c>
      <c r="B7" s="10"/>
      <c r="C7" s="10"/>
      <c r="D7" s="10"/>
      <c r="E7" s="10"/>
      <c r="F7" s="10"/>
      <c r="G7" s="10"/>
      <c r="H7" s="10"/>
      <c r="I7" s="10"/>
    </row>
    <row r="8" spans="1:11" x14ac:dyDescent="0.35">
      <c r="A8" s="270" t="s">
        <v>326</v>
      </c>
      <c r="B8" s="10"/>
      <c r="C8" s="10"/>
      <c r="D8" s="10"/>
      <c r="E8" s="10"/>
      <c r="F8" s="10"/>
      <c r="G8" s="10"/>
      <c r="H8" s="10"/>
      <c r="I8" s="10"/>
    </row>
    <row r="9" spans="1:11" x14ac:dyDescent="0.35">
      <c r="A9" s="270" t="s">
        <v>327</v>
      </c>
      <c r="B9" s="10"/>
      <c r="C9" s="10"/>
      <c r="D9" s="10"/>
      <c r="E9" s="10"/>
      <c r="F9" s="10"/>
      <c r="G9" s="10"/>
      <c r="H9" s="10"/>
      <c r="I9" s="10"/>
    </row>
    <row r="10" spans="1:11" x14ac:dyDescent="0.35">
      <c r="A10" s="270" t="s">
        <v>328</v>
      </c>
      <c r="B10" s="12"/>
      <c r="C10" s="12"/>
      <c r="D10" s="12"/>
      <c r="E10" s="12"/>
      <c r="F10" s="12"/>
      <c r="G10" s="12"/>
      <c r="H10" s="12"/>
      <c r="I10" s="12"/>
    </row>
    <row r="11" spans="1:11" x14ac:dyDescent="0.35">
      <c r="A11" s="270" t="s">
        <v>329</v>
      </c>
      <c r="B11" s="12"/>
      <c r="C11" s="12"/>
      <c r="D11" s="12"/>
      <c r="E11" s="12"/>
      <c r="F11" s="12"/>
      <c r="G11" s="12"/>
      <c r="H11" s="12"/>
      <c r="I11" s="12"/>
    </row>
    <row r="12" spans="1:11" x14ac:dyDescent="0.35">
      <c r="A12" s="270"/>
      <c r="B12" s="12"/>
      <c r="C12" s="12"/>
      <c r="D12" s="12"/>
      <c r="E12" s="12"/>
      <c r="F12" s="12"/>
      <c r="G12" s="12"/>
      <c r="H12" s="12"/>
      <c r="I12" s="12"/>
    </row>
    <row r="14" spans="1:11" ht="18" x14ac:dyDescent="0.4">
      <c r="A14" s="268" t="s">
        <v>179</v>
      </c>
      <c r="B14" s="80">
        <v>2019</v>
      </c>
      <c r="C14" s="80">
        <v>2020</v>
      </c>
      <c r="D14" s="80">
        <v>2021</v>
      </c>
      <c r="E14" s="80">
        <v>2022</v>
      </c>
      <c r="F14" s="80">
        <v>2023</v>
      </c>
      <c r="G14" s="80">
        <v>2024</v>
      </c>
      <c r="H14" s="80">
        <v>2025</v>
      </c>
      <c r="I14" s="80">
        <v>2026</v>
      </c>
    </row>
    <row r="15" spans="1:11" x14ac:dyDescent="0.35">
      <c r="A15" s="277"/>
      <c r="B15" s="143"/>
      <c r="C15" s="143"/>
      <c r="D15" s="143"/>
      <c r="E15" s="15"/>
    </row>
    <row r="16" spans="1:11" x14ac:dyDescent="0.35">
      <c r="A16" s="278" t="s">
        <v>180</v>
      </c>
      <c r="B16" s="27">
        <v>38390799.110719994</v>
      </c>
      <c r="C16" s="27">
        <v>39173669.476390004</v>
      </c>
      <c r="D16" s="103">
        <v>39847271.852370001</v>
      </c>
      <c r="E16" s="202"/>
      <c r="F16" s="202"/>
      <c r="G16" s="202"/>
      <c r="H16" s="202"/>
      <c r="I16" s="202"/>
      <c r="J16" s="202"/>
      <c r="K16" s="202"/>
    </row>
    <row r="17" spans="1:10" x14ac:dyDescent="0.35">
      <c r="A17" s="279" t="s">
        <v>181</v>
      </c>
      <c r="B17" s="146">
        <v>28571378.777259998</v>
      </c>
      <c r="C17" s="146">
        <v>28076784.507969998</v>
      </c>
      <c r="D17" s="104">
        <v>25484969.92207</v>
      </c>
      <c r="E17" s="20"/>
      <c r="F17" s="20"/>
      <c r="G17" s="20"/>
      <c r="H17" s="20"/>
      <c r="I17" s="20"/>
    </row>
    <row r="18" spans="1:10" x14ac:dyDescent="0.35">
      <c r="A18" s="268" t="s">
        <v>182</v>
      </c>
      <c r="B18" s="28">
        <v>9819420.3334599957</v>
      </c>
      <c r="C18" s="28">
        <v>11096884.968420006</v>
      </c>
      <c r="D18" s="28">
        <v>14362301.930300001</v>
      </c>
      <c r="E18" s="28"/>
      <c r="F18" s="28"/>
      <c r="G18" s="28"/>
      <c r="H18" s="28"/>
      <c r="I18" s="28"/>
    </row>
    <row r="19" spans="1:10" x14ac:dyDescent="0.35">
      <c r="A19" s="280" t="s">
        <v>183</v>
      </c>
      <c r="B19" s="29">
        <v>0.25577535661970852</v>
      </c>
      <c r="C19" s="29">
        <v>0.28327407456960613</v>
      </c>
      <c r="D19" s="29">
        <v>0.36043375776165598</v>
      </c>
      <c r="E19" s="29"/>
      <c r="F19" s="29"/>
      <c r="G19" s="29"/>
      <c r="H19" s="29"/>
      <c r="I19" s="29"/>
    </row>
    <row r="20" spans="1:10" x14ac:dyDescent="0.35">
      <c r="A20" s="277" t="s">
        <v>184</v>
      </c>
      <c r="B20" s="148">
        <v>2857389.3120399993</v>
      </c>
      <c r="C20" s="148">
        <v>3653158.2923900001</v>
      </c>
      <c r="D20" s="20">
        <v>3680486.9404500001</v>
      </c>
      <c r="E20" s="20"/>
      <c r="F20" s="20"/>
      <c r="G20" s="20"/>
      <c r="H20" s="20"/>
      <c r="I20" s="20"/>
    </row>
    <row r="21" spans="1:10" x14ac:dyDescent="0.35">
      <c r="A21" s="281" t="s">
        <v>185</v>
      </c>
      <c r="B21" s="150">
        <v>1142955.7248159999</v>
      </c>
      <c r="C21" s="150">
        <v>1461263.3169560002</v>
      </c>
      <c r="D21" s="105">
        <v>1472194.77618</v>
      </c>
      <c r="E21" s="150"/>
      <c r="F21" s="150"/>
      <c r="G21" s="150"/>
      <c r="H21" s="150"/>
      <c r="I21" s="150"/>
    </row>
    <row r="22" spans="1:10" x14ac:dyDescent="0.35">
      <c r="A22" s="281" t="s">
        <v>186</v>
      </c>
      <c r="B22" s="150">
        <v>1714433.5872239994</v>
      </c>
      <c r="C22" s="150">
        <v>2191894.9754339997</v>
      </c>
      <c r="D22" s="105">
        <v>2208292.1642700001</v>
      </c>
      <c r="E22" s="150"/>
      <c r="F22" s="150"/>
      <c r="G22" s="150"/>
      <c r="H22" s="150"/>
      <c r="I22" s="150"/>
    </row>
    <row r="23" spans="1:10" x14ac:dyDescent="0.35">
      <c r="A23" s="268" t="s">
        <v>187</v>
      </c>
      <c r="B23" s="16">
        <v>6962031.0214199964</v>
      </c>
      <c r="C23" s="16">
        <v>7443726.6760300063</v>
      </c>
      <c r="D23" s="28">
        <v>10681814.989850001</v>
      </c>
      <c r="E23" s="28"/>
      <c r="F23" s="28"/>
      <c r="G23" s="28"/>
      <c r="H23" s="28"/>
      <c r="I23" s="28"/>
    </row>
    <row r="24" spans="1:10" x14ac:dyDescent="0.35">
      <c r="A24" s="271" t="s">
        <v>188</v>
      </c>
      <c r="B24" s="19">
        <v>0.18134634294382179</v>
      </c>
      <c r="C24" s="19">
        <v>0.19001862157734151</v>
      </c>
      <c r="D24" s="29">
        <v>0.2680689164725007</v>
      </c>
      <c r="E24" s="29"/>
      <c r="F24" s="29"/>
      <c r="G24" s="29"/>
      <c r="H24" s="29"/>
      <c r="I24" s="29"/>
    </row>
    <row r="25" spans="1:10" x14ac:dyDescent="0.35">
      <c r="A25" s="265" t="s">
        <v>189</v>
      </c>
      <c r="B25" s="20">
        <v>937849.91023000004</v>
      </c>
      <c r="C25" s="20">
        <v>3219652.2199999988</v>
      </c>
      <c r="D25" s="101">
        <v>3916312.8818399995</v>
      </c>
      <c r="E25" s="20"/>
      <c r="F25" s="20"/>
      <c r="G25" s="20"/>
      <c r="H25" s="20"/>
      <c r="I25" s="20"/>
    </row>
    <row r="26" spans="1:10" x14ac:dyDescent="0.35">
      <c r="A26" s="265" t="s">
        <v>190</v>
      </c>
      <c r="B26" s="20">
        <v>1553754.1523000002</v>
      </c>
      <c r="C26" s="20">
        <v>1370947.92906</v>
      </c>
      <c r="D26" s="101">
        <v>1224787.4194499999</v>
      </c>
      <c r="E26" s="20"/>
      <c r="F26" s="20"/>
      <c r="G26" s="20"/>
      <c r="H26" s="20"/>
      <c r="I26" s="20"/>
    </row>
    <row r="27" spans="1:10" x14ac:dyDescent="0.35">
      <c r="A27" s="265" t="s">
        <v>191</v>
      </c>
      <c r="B27" s="20">
        <v>360843.38334000006</v>
      </c>
      <c r="C27" s="20">
        <v>228086.46049999999</v>
      </c>
      <c r="D27" s="101">
        <v>772498.42904999992</v>
      </c>
      <c r="E27" s="20"/>
      <c r="F27" s="20"/>
      <c r="G27" s="20"/>
      <c r="H27" s="20"/>
      <c r="I27" s="20"/>
    </row>
    <row r="28" spans="1:10" x14ac:dyDescent="0.35">
      <c r="A28" s="265" t="s">
        <v>192</v>
      </c>
      <c r="B28" s="20">
        <v>5591989.3414099999</v>
      </c>
      <c r="C28" s="20">
        <v>4373012.6291500004</v>
      </c>
      <c r="D28" s="101">
        <v>5923903.9424099997</v>
      </c>
      <c r="E28" s="20"/>
      <c r="F28" s="20"/>
      <c r="G28" s="20"/>
      <c r="H28" s="20"/>
      <c r="I28" s="20"/>
    </row>
    <row r="29" spans="1:10" x14ac:dyDescent="0.35">
      <c r="A29" s="283" t="s">
        <v>330</v>
      </c>
      <c r="B29" s="20">
        <v>0</v>
      </c>
      <c r="C29" s="20">
        <v>0</v>
      </c>
      <c r="D29" s="101">
        <v>0</v>
      </c>
      <c r="E29" s="20"/>
      <c r="F29" s="20"/>
      <c r="G29" s="20"/>
      <c r="H29" s="20"/>
      <c r="I29" s="20"/>
      <c r="J29" s="20"/>
    </row>
    <row r="30" spans="1:10" x14ac:dyDescent="0.35">
      <c r="A30" s="268" t="s">
        <v>193</v>
      </c>
      <c r="B30" s="16">
        <f t="shared" ref="B30:D30" si="0">+B23-B25+B26-B27-B28-B29</f>
        <v>1625102.538739997</v>
      </c>
      <c r="C30" s="16">
        <f t="shared" si="0"/>
        <v>993923.295440007</v>
      </c>
      <c r="D30" s="16">
        <f t="shared" si="0"/>
        <v>1293887.1560000014</v>
      </c>
      <c r="E30" s="16"/>
      <c r="F30" s="16"/>
      <c r="G30" s="16"/>
      <c r="H30" s="16"/>
      <c r="I30" s="16"/>
    </row>
    <row r="31" spans="1:10" x14ac:dyDescent="0.35">
      <c r="A31" s="265" t="s">
        <v>194</v>
      </c>
      <c r="B31" s="20">
        <v>1133144</v>
      </c>
      <c r="C31" s="20">
        <v>704644</v>
      </c>
      <c r="D31" s="101">
        <v>983680</v>
      </c>
      <c r="E31" s="20"/>
      <c r="F31" s="20"/>
      <c r="G31" s="20"/>
      <c r="H31" s="20"/>
      <c r="I31" s="20"/>
    </row>
    <row r="32" spans="1:10" x14ac:dyDescent="0.35">
      <c r="A32" s="268" t="s">
        <v>195</v>
      </c>
      <c r="B32" s="16">
        <v>491958.53873999696</v>
      </c>
      <c r="C32" s="16">
        <v>289279.295440007</v>
      </c>
      <c r="D32" s="16">
        <v>310207.15600000136</v>
      </c>
      <c r="E32" s="16"/>
      <c r="F32" s="16"/>
      <c r="G32" s="16"/>
      <c r="H32" s="16"/>
      <c r="I32" s="16"/>
    </row>
    <row r="33" spans="1:9" x14ac:dyDescent="0.35">
      <c r="A33" s="271" t="s">
        <v>196</v>
      </c>
      <c r="B33" s="19">
        <v>1.2814490714850104E-2</v>
      </c>
      <c r="C33" s="19">
        <v>7.3845340328496881E-3</v>
      </c>
      <c r="D33" s="19">
        <v>7.7849032463072152E-3</v>
      </c>
      <c r="E33" s="19"/>
      <c r="F33" s="19"/>
      <c r="G33" s="19"/>
      <c r="H33" s="19"/>
      <c r="I33" s="19"/>
    </row>
    <row r="34" spans="1:9" x14ac:dyDescent="0.35">
      <c r="A34" s="265"/>
      <c r="B34" s="20"/>
      <c r="C34" s="20"/>
      <c r="D34" s="19"/>
    </row>
    <row r="36" spans="1:9" x14ac:dyDescent="0.35">
      <c r="A36" s="268" t="s">
        <v>187</v>
      </c>
      <c r="B36" s="17">
        <v>6962031.0214199964</v>
      </c>
      <c r="C36" s="17">
        <v>7443726.6760300063</v>
      </c>
      <c r="D36" s="17">
        <v>10681814.989850001</v>
      </c>
      <c r="E36" s="17"/>
      <c r="F36" s="17"/>
      <c r="G36" s="17"/>
      <c r="H36" s="17"/>
      <c r="I36" s="17"/>
    </row>
    <row r="37" spans="1:9" x14ac:dyDescent="0.35">
      <c r="A37" s="265" t="s">
        <v>197</v>
      </c>
      <c r="B37" s="20">
        <v>649401.72699999996</v>
      </c>
      <c r="C37" s="20">
        <v>617593.03899999999</v>
      </c>
      <c r="D37" s="101">
        <v>424026.16282999999</v>
      </c>
      <c r="E37" s="20"/>
      <c r="F37" s="20"/>
      <c r="G37" s="20"/>
      <c r="H37" s="20"/>
      <c r="I37" s="20"/>
    </row>
    <row r="38" spans="1:9" x14ac:dyDescent="0.35">
      <c r="A38" s="265" t="s">
        <v>58</v>
      </c>
      <c r="B38" s="20">
        <v>29936.858179999999</v>
      </c>
      <c r="C38" s="20">
        <v>34841.352599999991</v>
      </c>
      <c r="D38" s="101">
        <v>27165.180390000001</v>
      </c>
      <c r="E38" s="20"/>
      <c r="F38" s="20"/>
      <c r="G38" s="20"/>
      <c r="H38" s="20"/>
      <c r="I38" s="20"/>
    </row>
    <row r="39" spans="1:9" x14ac:dyDescent="0.35">
      <c r="A39" s="265" t="s">
        <v>198</v>
      </c>
      <c r="B39" s="20">
        <v>0</v>
      </c>
      <c r="C39" s="20">
        <v>413857.03700000001</v>
      </c>
      <c r="D39" s="20">
        <v>0</v>
      </c>
      <c r="E39" s="20"/>
      <c r="F39" s="20"/>
      <c r="G39" s="20"/>
      <c r="H39" s="20"/>
      <c r="I39" s="20"/>
    </row>
    <row r="40" spans="1:9" x14ac:dyDescent="0.35">
      <c r="A40" s="265" t="s">
        <v>192</v>
      </c>
      <c r="B40" s="20">
        <v>0</v>
      </c>
      <c r="C40" s="20">
        <v>0</v>
      </c>
      <c r="D40" s="20">
        <v>0</v>
      </c>
      <c r="E40" s="20"/>
      <c r="F40" s="20"/>
      <c r="G40" s="20"/>
      <c r="H40" s="20"/>
      <c r="I40" s="20"/>
    </row>
    <row r="41" spans="1:9" x14ac:dyDescent="0.35">
      <c r="A41" s="268" t="s">
        <v>11</v>
      </c>
      <c r="B41" s="16">
        <v>7641369.6065999968</v>
      </c>
      <c r="C41" s="16">
        <v>8510018.1046300065</v>
      </c>
      <c r="D41" s="16">
        <v>11133006.333070002</v>
      </c>
      <c r="E41" s="16"/>
      <c r="F41" s="16"/>
      <c r="G41" s="16"/>
      <c r="H41" s="16"/>
      <c r="I41" s="16"/>
    </row>
    <row r="42" spans="1:9" x14ac:dyDescent="0.35">
      <c r="A42" s="271" t="s">
        <v>199</v>
      </c>
      <c r="B42" s="19">
        <v>0.19904169185335532</v>
      </c>
      <c r="C42" s="19">
        <v>0.21723821685275105</v>
      </c>
      <c r="D42" s="19">
        <v>0.279391933638936</v>
      </c>
      <c r="E42" s="19"/>
      <c r="F42" s="19"/>
      <c r="G42" s="19"/>
      <c r="H42" s="19"/>
      <c r="I42" s="19"/>
    </row>
    <row r="43" spans="1:9" ht="15" thickBot="1" x14ac:dyDescent="0.4">
      <c r="A43" s="265"/>
      <c r="B43" s="19"/>
      <c r="C43" s="19"/>
      <c r="D43" s="19"/>
      <c r="E43" s="19"/>
      <c r="F43" s="19"/>
      <c r="G43" s="19"/>
      <c r="H43" s="19"/>
      <c r="I43" s="19"/>
    </row>
    <row r="44" spans="1:9" x14ac:dyDescent="0.35">
      <c r="A44" s="275" t="s">
        <v>200</v>
      </c>
      <c r="B44" s="120"/>
      <c r="C44" s="120"/>
      <c r="D44" s="120"/>
      <c r="E44" s="120"/>
      <c r="F44" s="120"/>
      <c r="G44" s="120"/>
      <c r="H44" s="120"/>
      <c r="I44" s="121"/>
    </row>
    <row r="45" spans="1:9" outlineLevel="1" x14ac:dyDescent="0.35">
      <c r="A45" s="269" t="s">
        <v>331</v>
      </c>
      <c r="B45" s="122"/>
      <c r="C45" s="122"/>
      <c r="D45" s="122"/>
      <c r="E45" s="122"/>
      <c r="F45" s="122"/>
      <c r="G45" s="122"/>
      <c r="H45" s="122"/>
      <c r="I45" s="123"/>
    </row>
    <row r="46" spans="1:9" outlineLevel="1" x14ac:dyDescent="0.35">
      <c r="A46" s="269" t="s">
        <v>201</v>
      </c>
      <c r="B46" s="122"/>
      <c r="C46" s="122"/>
      <c r="D46" s="122"/>
      <c r="E46" s="128">
        <f>+'Premissas Macro'!C5</f>
        <v>3.1600000000000003E-2</v>
      </c>
      <c r="F46" s="128">
        <f>+'Premissas Macro'!D5</f>
        <v>3.3599999999999998E-2</v>
      </c>
      <c r="G46" s="128">
        <f>+'Premissas Macro'!E5</f>
        <v>3.2399999999999998E-2</v>
      </c>
      <c r="H46" s="128">
        <f>+'Premissas Macro'!F5</f>
        <v>3.09E-2</v>
      </c>
      <c r="I46" s="6">
        <f>+'Premissas Macro'!G5</f>
        <v>2.0500000000000001E-2</v>
      </c>
    </row>
    <row r="47" spans="1:9" outlineLevel="1" x14ac:dyDescent="0.35">
      <c r="A47" s="269"/>
      <c r="B47" s="122"/>
      <c r="C47" s="122"/>
      <c r="D47" s="122"/>
      <c r="E47" s="128"/>
      <c r="F47" s="124"/>
      <c r="G47" s="124"/>
      <c r="H47" s="124"/>
      <c r="I47" s="125"/>
    </row>
    <row r="48" spans="1:9" outlineLevel="1" x14ac:dyDescent="0.35">
      <c r="A48" s="269" t="s">
        <v>202</v>
      </c>
      <c r="B48" s="122">
        <f>+B17/B16</f>
        <v>0.74422464338029148</v>
      </c>
      <c r="C48" s="122">
        <f t="shared" ref="C48:D48" si="1">+C17/C16</f>
        <v>0.71672592543039382</v>
      </c>
      <c r="D48" s="122">
        <f t="shared" si="1"/>
        <v>0.63956624223834357</v>
      </c>
      <c r="E48" s="205">
        <f>+AVERAGE(B48:D48)</f>
        <v>0.70017227034967622</v>
      </c>
      <c r="F48" s="122">
        <f>+E48</f>
        <v>0.70017227034967622</v>
      </c>
      <c r="G48" s="122">
        <f t="shared" ref="G48:I48" si="2">+F48</f>
        <v>0.70017227034967622</v>
      </c>
      <c r="H48" s="122">
        <f t="shared" si="2"/>
        <v>0.70017227034967622</v>
      </c>
      <c r="I48" s="123">
        <f t="shared" si="2"/>
        <v>0.70017227034967622</v>
      </c>
    </row>
    <row r="49" spans="1:9" outlineLevel="1" x14ac:dyDescent="0.35">
      <c r="A49" s="269" t="s">
        <v>203</v>
      </c>
      <c r="B49" s="122"/>
      <c r="C49" s="122"/>
      <c r="D49" s="122"/>
      <c r="E49" s="124">
        <f>+E16*E48</f>
        <v>0</v>
      </c>
      <c r="F49" s="124">
        <f t="shared" ref="F49:I49" si="3">+F16*F48</f>
        <v>0</v>
      </c>
      <c r="G49" s="124">
        <f t="shared" si="3"/>
        <v>0</v>
      </c>
      <c r="H49" s="124">
        <f t="shared" si="3"/>
        <v>0</v>
      </c>
      <c r="I49" s="125">
        <f t="shared" si="3"/>
        <v>0</v>
      </c>
    </row>
    <row r="50" spans="1:9" outlineLevel="1" x14ac:dyDescent="0.35">
      <c r="A50" s="269"/>
      <c r="B50" s="122"/>
      <c r="C50" s="122"/>
      <c r="D50" s="122"/>
      <c r="E50" s="122"/>
      <c r="F50" s="122"/>
      <c r="G50" s="122"/>
      <c r="H50" s="122"/>
      <c r="I50" s="123"/>
    </row>
    <row r="51" spans="1:9" outlineLevel="1" x14ac:dyDescent="0.35">
      <c r="A51" s="269" t="s">
        <v>204</v>
      </c>
      <c r="B51" s="122"/>
      <c r="C51" s="122"/>
      <c r="D51" s="122"/>
      <c r="E51" s="124">
        <f>+D21*(1+E46)</f>
        <v>1518716.1311072882</v>
      </c>
      <c r="F51" s="124">
        <f t="shared" ref="F51:I51" si="4">+E21*(1+F46)</f>
        <v>0</v>
      </c>
      <c r="G51" s="124">
        <f t="shared" si="4"/>
        <v>0</v>
      </c>
      <c r="H51" s="124">
        <f t="shared" si="4"/>
        <v>0</v>
      </c>
      <c r="I51" s="125">
        <f t="shared" si="4"/>
        <v>0</v>
      </c>
    </row>
    <row r="52" spans="1:9" outlineLevel="1" x14ac:dyDescent="0.35">
      <c r="A52" s="269"/>
      <c r="B52" s="122"/>
      <c r="C52" s="122"/>
      <c r="D52" s="122"/>
      <c r="E52" s="122"/>
      <c r="F52" s="122"/>
      <c r="G52" s="122"/>
      <c r="H52" s="122"/>
      <c r="I52" s="123"/>
    </row>
    <row r="53" spans="1:9" outlineLevel="1" x14ac:dyDescent="0.35">
      <c r="A53" s="269" t="s">
        <v>205</v>
      </c>
      <c r="B53" s="122">
        <f>+B22/B16</f>
        <v>4.4657408205532045E-2</v>
      </c>
      <c r="C53" s="122">
        <f t="shared" ref="C53:D53" si="5">+C22/C16</f>
        <v>5.5953271795358771E-2</v>
      </c>
      <c r="D53" s="122">
        <f t="shared" si="5"/>
        <v>5.5418904773493476E-2</v>
      </c>
      <c r="E53" s="122">
        <f>+AVERAGE(B53:D53)</f>
        <v>5.2009861591461433E-2</v>
      </c>
      <c r="F53" s="122">
        <f>+E53</f>
        <v>5.2009861591461433E-2</v>
      </c>
      <c r="G53" s="122">
        <f t="shared" ref="G53:I53" si="6">+F53</f>
        <v>5.2009861591461433E-2</v>
      </c>
      <c r="H53" s="122">
        <f t="shared" si="6"/>
        <v>5.2009861591461433E-2</v>
      </c>
      <c r="I53" s="123">
        <f t="shared" si="6"/>
        <v>5.2009861591461433E-2</v>
      </c>
    </row>
    <row r="54" spans="1:9" outlineLevel="1" x14ac:dyDescent="0.35">
      <c r="A54" s="269" t="s">
        <v>206</v>
      </c>
      <c r="B54" s="122"/>
      <c r="C54" s="122"/>
      <c r="D54" s="122"/>
      <c r="E54" s="124">
        <f>+E16*E53</f>
        <v>0</v>
      </c>
      <c r="F54" s="124">
        <f t="shared" ref="F54:H54" si="7">+F16*F53</f>
        <v>0</v>
      </c>
      <c r="G54" s="124">
        <f t="shared" si="7"/>
        <v>0</v>
      </c>
      <c r="H54" s="124">
        <f t="shared" si="7"/>
        <v>0</v>
      </c>
      <c r="I54" s="125">
        <f>+I16*I53</f>
        <v>0</v>
      </c>
    </row>
    <row r="55" spans="1:9" outlineLevel="1" x14ac:dyDescent="0.35">
      <c r="A55" s="269"/>
      <c r="B55" s="122"/>
      <c r="C55" s="122"/>
      <c r="D55" s="122"/>
      <c r="E55" s="124"/>
      <c r="F55" s="122"/>
      <c r="G55" s="122"/>
      <c r="H55" s="122"/>
      <c r="I55" s="123"/>
    </row>
    <row r="56" spans="1:9" outlineLevel="1" x14ac:dyDescent="0.35">
      <c r="A56" s="269" t="s">
        <v>207</v>
      </c>
      <c r="B56" s="122"/>
      <c r="C56" s="122"/>
      <c r="D56" s="122"/>
      <c r="E56" s="124">
        <f>+D93*E57</f>
        <v>4162717.6576616992</v>
      </c>
      <c r="F56" s="124">
        <f t="shared" ref="F56:I56" si="8">+E93*F57</f>
        <v>0</v>
      </c>
      <c r="G56" s="124">
        <f t="shared" si="8"/>
        <v>0</v>
      </c>
      <c r="H56" s="124">
        <f t="shared" si="8"/>
        <v>0</v>
      </c>
      <c r="I56" s="125">
        <f t="shared" si="8"/>
        <v>0</v>
      </c>
    </row>
    <row r="57" spans="1:9" outlineLevel="1" x14ac:dyDescent="0.35">
      <c r="A57" s="269" t="s">
        <v>208</v>
      </c>
      <c r="B57" s="122"/>
      <c r="C57" s="122"/>
      <c r="D57" s="122"/>
      <c r="E57" s="122">
        <f>+'Premissas Macro'!C15+'Premissas Macro'!C23</f>
        <v>0.10929999999999999</v>
      </c>
      <c r="F57" s="122">
        <f>+'Premissas Macro'!D15+'Premissas Macro'!D23</f>
        <v>0.1061</v>
      </c>
      <c r="G57" s="122">
        <f>+'Premissas Macro'!E15+'Premissas Macro'!E23</f>
        <v>0.1143</v>
      </c>
      <c r="H57" s="122">
        <f>+'Premissas Macro'!F15+'Premissas Macro'!F23</f>
        <v>0.11299999999999999</v>
      </c>
      <c r="I57" s="123">
        <f>+'Premissas Macro'!G15+'Premissas Macro'!G23</f>
        <v>0.1089</v>
      </c>
    </row>
    <row r="58" spans="1:9" outlineLevel="1" x14ac:dyDescent="0.35">
      <c r="A58" s="269"/>
      <c r="B58" s="122"/>
      <c r="C58" s="122"/>
      <c r="D58" s="122"/>
      <c r="E58" s="122"/>
      <c r="F58" s="122"/>
      <c r="G58" s="122"/>
      <c r="H58" s="122"/>
      <c r="I58" s="123"/>
    </row>
    <row r="59" spans="1:9" outlineLevel="1" x14ac:dyDescent="0.35">
      <c r="A59" s="269" t="s">
        <v>209</v>
      </c>
      <c r="B59" s="122"/>
      <c r="C59" s="122"/>
      <c r="D59" s="122"/>
      <c r="E59" s="124">
        <f>+D26*(1+'Premissas Macro'!C15)</f>
        <v>1285169.4392288849</v>
      </c>
      <c r="F59" s="124">
        <f>+E26*(1+'Premissas Macro'!D15)</f>
        <v>0</v>
      </c>
      <c r="G59" s="124">
        <f>+F26*(1+'Premissas Macro'!E15)</f>
        <v>0</v>
      </c>
      <c r="H59" s="124">
        <f>+G26*(1+'Premissas Macro'!F15)</f>
        <v>0</v>
      </c>
      <c r="I59" s="125">
        <f>+H26*(1+'Premissas Macro'!G15)</f>
        <v>0</v>
      </c>
    </row>
    <row r="60" spans="1:9" outlineLevel="1" x14ac:dyDescent="0.35">
      <c r="A60" s="269" t="s">
        <v>210</v>
      </c>
      <c r="B60" s="122"/>
      <c r="C60" s="122"/>
      <c r="D60" s="122"/>
      <c r="E60" s="124">
        <f>+D27*(1+E46)</f>
        <v>796909.37940798001</v>
      </c>
      <c r="F60" s="124">
        <f t="shared" ref="F60:I60" si="9">+E27*(1+F46)</f>
        <v>0</v>
      </c>
      <c r="G60" s="124">
        <f t="shared" si="9"/>
        <v>0</v>
      </c>
      <c r="H60" s="124">
        <f t="shared" si="9"/>
        <v>0</v>
      </c>
      <c r="I60" s="125">
        <f t="shared" si="9"/>
        <v>0</v>
      </c>
    </row>
    <row r="61" spans="1:9" outlineLevel="1" x14ac:dyDescent="0.35">
      <c r="A61" s="269"/>
      <c r="B61" s="122"/>
      <c r="C61" s="122"/>
      <c r="D61" s="122"/>
      <c r="E61" s="122"/>
      <c r="F61" s="122"/>
      <c r="G61" s="122"/>
      <c r="H61" s="122"/>
      <c r="I61" s="123"/>
    </row>
    <row r="62" spans="1:9" outlineLevel="1" x14ac:dyDescent="0.35">
      <c r="A62" s="269" t="s">
        <v>211</v>
      </c>
      <c r="B62" s="122"/>
      <c r="C62" s="122"/>
      <c r="D62" s="122"/>
      <c r="E62" s="122">
        <v>0.08</v>
      </c>
      <c r="F62" s="122">
        <v>0.08</v>
      </c>
      <c r="G62" s="122">
        <v>0.08</v>
      </c>
      <c r="H62" s="122">
        <v>0.08</v>
      </c>
      <c r="I62" s="123">
        <v>0.08</v>
      </c>
    </row>
    <row r="63" spans="1:9" outlineLevel="1" x14ac:dyDescent="0.35">
      <c r="A63" s="269" t="s">
        <v>212</v>
      </c>
      <c r="B63" s="122"/>
      <c r="C63" s="122"/>
      <c r="D63" s="122"/>
      <c r="E63" s="124">
        <f>+E16*E62</f>
        <v>0</v>
      </c>
      <c r="F63" s="124">
        <f t="shared" ref="F63:I63" si="10">+F16*F62</f>
        <v>0</v>
      </c>
      <c r="G63" s="124">
        <f t="shared" si="10"/>
        <v>0</v>
      </c>
      <c r="H63" s="124">
        <f t="shared" si="10"/>
        <v>0</v>
      </c>
      <c r="I63" s="125">
        <f t="shared" si="10"/>
        <v>0</v>
      </c>
    </row>
    <row r="64" spans="1:9" outlineLevel="1" x14ac:dyDescent="0.35">
      <c r="A64" s="269"/>
      <c r="B64" s="122"/>
      <c r="C64" s="122"/>
      <c r="D64" s="122"/>
      <c r="E64" s="122"/>
      <c r="F64" s="122"/>
      <c r="G64" s="122"/>
      <c r="H64" s="122"/>
      <c r="I64" s="123"/>
    </row>
    <row r="65" spans="1:9" outlineLevel="1" x14ac:dyDescent="0.35">
      <c r="A65" s="269" t="s">
        <v>213</v>
      </c>
      <c r="B65" s="122"/>
      <c r="C65" s="122"/>
      <c r="D65" s="122"/>
      <c r="E65" s="210">
        <f>+E66*E67</f>
        <v>395259.93059999991</v>
      </c>
      <c r="F65" s="210">
        <f t="shared" ref="F65:I65" si="11">+F66*F67</f>
        <v>0</v>
      </c>
      <c r="G65" s="210">
        <f t="shared" si="11"/>
        <v>0</v>
      </c>
      <c r="H65" s="210">
        <f t="shared" si="11"/>
        <v>0</v>
      </c>
      <c r="I65" s="211">
        <f t="shared" si="11"/>
        <v>0</v>
      </c>
    </row>
    <row r="66" spans="1:9" outlineLevel="1" x14ac:dyDescent="0.35">
      <c r="A66" s="269" t="s">
        <v>214</v>
      </c>
      <c r="B66" s="122"/>
      <c r="C66" s="122"/>
      <c r="D66" s="122"/>
      <c r="E66" s="122">
        <v>0.1</v>
      </c>
      <c r="F66" s="122">
        <v>0.1</v>
      </c>
      <c r="G66" s="122">
        <v>0.1</v>
      </c>
      <c r="H66" s="122">
        <v>0.1</v>
      </c>
      <c r="I66" s="123">
        <v>0.1</v>
      </c>
    </row>
    <row r="67" spans="1:9" outlineLevel="1" x14ac:dyDescent="0.35">
      <c r="A67" s="269" t="s">
        <v>215</v>
      </c>
      <c r="B67" s="122"/>
      <c r="C67" s="122"/>
      <c r="D67" s="122"/>
      <c r="E67" s="124">
        <f>+D83</f>
        <v>3952599.3059999989</v>
      </c>
      <c r="F67" s="124">
        <f t="shared" ref="F67:I67" si="12">+E83</f>
        <v>0</v>
      </c>
      <c r="G67" s="124">
        <f t="shared" si="12"/>
        <v>0</v>
      </c>
      <c r="H67" s="124">
        <f t="shared" si="12"/>
        <v>0</v>
      </c>
      <c r="I67" s="125">
        <f t="shared" si="12"/>
        <v>0</v>
      </c>
    </row>
    <row r="68" spans="1:9" outlineLevel="1" x14ac:dyDescent="0.35">
      <c r="A68" s="269"/>
      <c r="B68" s="122"/>
      <c r="C68" s="122"/>
      <c r="D68" s="122"/>
      <c r="E68" s="122"/>
      <c r="F68" s="122"/>
      <c r="G68" s="122"/>
      <c r="H68" s="122"/>
      <c r="I68" s="123"/>
    </row>
    <row r="69" spans="1:9" outlineLevel="1" x14ac:dyDescent="0.35">
      <c r="A69" s="269" t="s">
        <v>216</v>
      </c>
      <c r="B69" s="122"/>
      <c r="C69" s="122"/>
      <c r="D69" s="122"/>
      <c r="E69" s="122"/>
      <c r="F69" s="122"/>
      <c r="G69" s="122"/>
      <c r="H69" s="122"/>
      <c r="I69" s="123"/>
    </row>
    <row r="70" spans="1:9" outlineLevel="1" x14ac:dyDescent="0.35">
      <c r="A70" s="269" t="s">
        <v>214</v>
      </c>
      <c r="B70" s="122"/>
      <c r="C70" s="122"/>
      <c r="D70" s="122"/>
      <c r="E70" s="122">
        <v>0.2</v>
      </c>
      <c r="F70" s="122">
        <v>0.2</v>
      </c>
      <c r="G70" s="122">
        <v>0.2</v>
      </c>
      <c r="H70" s="122">
        <v>0.2</v>
      </c>
      <c r="I70" s="123">
        <v>0.2</v>
      </c>
    </row>
    <row r="71" spans="1:9" outlineLevel="1" x14ac:dyDescent="0.35">
      <c r="A71" s="269" t="s">
        <v>215</v>
      </c>
      <c r="B71" s="122"/>
      <c r="C71" s="122"/>
      <c r="D71" s="122"/>
      <c r="E71" s="124">
        <f>+D90*E70</f>
        <v>1089202.4082000002</v>
      </c>
      <c r="F71" s="124">
        <f>+E90*F70</f>
        <v>0</v>
      </c>
      <c r="G71" s="124">
        <f t="shared" ref="G71" si="13">+F90*G70</f>
        <v>0</v>
      </c>
      <c r="H71" s="124">
        <f t="shared" ref="H71" si="14">+G90*H70</f>
        <v>0</v>
      </c>
      <c r="I71" s="125">
        <f t="shared" ref="I71" si="15">+H90*I70</f>
        <v>0</v>
      </c>
    </row>
    <row r="72" spans="1:9" outlineLevel="1" x14ac:dyDescent="0.35">
      <c r="A72" s="269"/>
      <c r="B72" s="122"/>
      <c r="C72" s="122"/>
      <c r="D72" s="122"/>
      <c r="E72" s="122"/>
      <c r="F72" s="122" t="s">
        <v>8</v>
      </c>
      <c r="G72" s="122"/>
      <c r="H72" s="122"/>
      <c r="I72" s="123"/>
    </row>
    <row r="73" spans="1:9" ht="15" outlineLevel="1" thickBot="1" x14ac:dyDescent="0.4">
      <c r="A73" s="276" t="s">
        <v>217</v>
      </c>
      <c r="B73" s="132"/>
      <c r="C73" s="132"/>
      <c r="D73" s="132"/>
      <c r="E73" s="133">
        <f>+E30*'Premissas Macro'!C16</f>
        <v>0</v>
      </c>
      <c r="F73" s="133">
        <f>+F30*'Premissas Macro'!D16</f>
        <v>0</v>
      </c>
      <c r="G73" s="133">
        <f>+G30*'Premissas Macro'!E16</f>
        <v>0</v>
      </c>
      <c r="H73" s="133">
        <f>+H30*'Premissas Macro'!F16</f>
        <v>0</v>
      </c>
      <c r="I73" s="134">
        <f>+I30*'Premissas Macro'!G16</f>
        <v>0</v>
      </c>
    </row>
    <row r="74" spans="1:9" x14ac:dyDescent="0.35">
      <c r="A74" s="265"/>
      <c r="B74" s="19"/>
      <c r="C74" s="19"/>
      <c r="D74" s="19"/>
      <c r="E74" s="19"/>
      <c r="F74" s="19"/>
      <c r="G74" s="19"/>
      <c r="H74" s="19"/>
      <c r="I74" s="19"/>
    </row>
    <row r="75" spans="1:9" x14ac:dyDescent="0.35">
      <c r="A75" s="265"/>
      <c r="B75" s="19"/>
      <c r="C75" s="19"/>
      <c r="D75" s="19"/>
      <c r="E75" s="19"/>
      <c r="F75" s="19"/>
      <c r="G75" s="19"/>
      <c r="H75" s="19"/>
      <c r="I75" s="19"/>
    </row>
    <row r="76" spans="1:9" x14ac:dyDescent="0.35">
      <c r="A76" s="265"/>
      <c r="B76" s="19"/>
      <c r="C76" s="19"/>
      <c r="D76" s="19"/>
      <c r="E76" s="19"/>
      <c r="F76" s="19"/>
      <c r="G76" s="19"/>
      <c r="H76" s="19"/>
      <c r="I76" s="19"/>
    </row>
    <row r="77" spans="1:9" ht="15.5" x14ac:dyDescent="0.35">
      <c r="A77" s="265" t="s">
        <v>218</v>
      </c>
      <c r="B77" s="19"/>
      <c r="C77" s="19"/>
      <c r="D77" s="49"/>
    </row>
    <row r="78" spans="1:9" x14ac:dyDescent="0.35">
      <c r="A78" s="268" t="s">
        <v>219</v>
      </c>
      <c r="B78" s="19"/>
      <c r="C78" s="19"/>
      <c r="D78" s="19"/>
    </row>
    <row r="80" spans="1:9" x14ac:dyDescent="0.35">
      <c r="A80" s="265" t="s">
        <v>220</v>
      </c>
      <c r="B80" s="20">
        <v>566440.53873999801</v>
      </c>
      <c r="C80" s="20">
        <v>385476.06043999601</v>
      </c>
      <c r="D80" s="101">
        <v>4069771.63</v>
      </c>
      <c r="E80" s="20"/>
      <c r="F80" s="20"/>
      <c r="G80" s="20"/>
      <c r="H80" s="20"/>
      <c r="I80" s="20"/>
    </row>
    <row r="81" spans="1:10" x14ac:dyDescent="0.35">
      <c r="A81" s="265" t="s">
        <v>221</v>
      </c>
      <c r="B81" s="20">
        <v>532814</v>
      </c>
      <c r="C81" s="20">
        <v>997042.33400000003</v>
      </c>
      <c r="D81" s="101">
        <v>524998.13399999996</v>
      </c>
      <c r="E81" s="20"/>
      <c r="F81" s="20"/>
      <c r="G81" s="20"/>
      <c r="H81" s="20"/>
      <c r="I81" s="20"/>
    </row>
    <row r="82" spans="1:10" x14ac:dyDescent="0.35">
      <c r="A82" s="265" t="s">
        <v>222</v>
      </c>
      <c r="B82" s="20">
        <v>319325</v>
      </c>
      <c r="C82" s="20">
        <v>341846.60499999998</v>
      </c>
      <c r="D82" s="101">
        <v>275464.49800000002</v>
      </c>
      <c r="E82" s="20"/>
      <c r="F82" s="20"/>
      <c r="G82" s="20"/>
      <c r="H82" s="20"/>
      <c r="I82" s="20"/>
    </row>
    <row r="83" spans="1:10" x14ac:dyDescent="0.35">
      <c r="A83" s="265" t="s">
        <v>223</v>
      </c>
      <c r="B83" s="20">
        <v>941797</v>
      </c>
      <c r="C83" s="20">
        <v>431957.93499999959</v>
      </c>
      <c r="D83" s="108">
        <v>3952599.3059999989</v>
      </c>
      <c r="E83" s="20"/>
      <c r="F83" s="20"/>
      <c r="G83" s="20"/>
      <c r="H83" s="20"/>
      <c r="I83" s="20"/>
      <c r="J83" s="20"/>
    </row>
    <row r="84" spans="1:10" x14ac:dyDescent="0.35">
      <c r="A84" s="272" t="s">
        <v>224</v>
      </c>
      <c r="B84" s="109">
        <v>5001849</v>
      </c>
      <c r="C84" s="109">
        <v>5100506.84</v>
      </c>
      <c r="D84" s="110">
        <v>8975926.8099999987</v>
      </c>
      <c r="E84" s="109"/>
      <c r="F84" s="109"/>
      <c r="G84" s="109"/>
      <c r="H84" s="109"/>
      <c r="I84" s="109"/>
    </row>
    <row r="85" spans="1:10" x14ac:dyDescent="0.35">
      <c r="A85" s="273" t="s">
        <v>225</v>
      </c>
      <c r="B85" s="111">
        <v>-4060052</v>
      </c>
      <c r="C85" s="111">
        <v>-4668548.9050000003</v>
      </c>
      <c r="D85" s="112">
        <v>-5023327.5039999997</v>
      </c>
      <c r="E85" s="111"/>
      <c r="F85" s="111"/>
      <c r="G85" s="111"/>
      <c r="H85" s="111"/>
      <c r="I85" s="111"/>
    </row>
    <row r="86" spans="1:10" x14ac:dyDescent="0.35">
      <c r="A86" s="265" t="s">
        <v>226</v>
      </c>
      <c r="B86" s="20">
        <v>25632</v>
      </c>
      <c r="C86" s="20">
        <v>18052.39</v>
      </c>
      <c r="D86" s="101">
        <v>15830.486000000001</v>
      </c>
      <c r="E86" s="20"/>
      <c r="F86" s="20"/>
      <c r="G86" s="20"/>
      <c r="H86" s="20"/>
      <c r="I86" s="20"/>
    </row>
    <row r="87" spans="1:10" x14ac:dyDescent="0.35">
      <c r="A87" s="265" t="s">
        <v>227</v>
      </c>
      <c r="B87" s="20">
        <v>4748804</v>
      </c>
      <c r="C87" s="20">
        <v>19193105.096000001</v>
      </c>
      <c r="D87" s="101">
        <v>19265707.296</v>
      </c>
      <c r="E87" s="202"/>
      <c r="F87" s="202"/>
      <c r="G87" s="202"/>
      <c r="H87" s="202"/>
      <c r="I87" s="202"/>
    </row>
    <row r="88" spans="1:10" x14ac:dyDescent="0.35">
      <c r="A88" s="265" t="s">
        <v>228</v>
      </c>
      <c r="B88" s="20">
        <v>13348185</v>
      </c>
      <c r="C88" s="20">
        <v>25997368.875</v>
      </c>
      <c r="D88" s="101">
        <v>36362260.508999996</v>
      </c>
      <c r="E88" s="20"/>
      <c r="F88" s="20"/>
      <c r="G88" s="20"/>
      <c r="H88" s="20"/>
      <c r="I88" s="20"/>
      <c r="J88" s="20"/>
    </row>
    <row r="89" spans="1:10" x14ac:dyDescent="0.35">
      <c r="A89" s="265" t="s">
        <v>229</v>
      </c>
      <c r="B89" s="23">
        <v>620611</v>
      </c>
      <c r="C89" s="23">
        <v>2814261.0010000002</v>
      </c>
      <c r="D89" s="102">
        <v>1592828.5649999999</v>
      </c>
      <c r="E89" s="20"/>
      <c r="F89" s="20"/>
      <c r="G89" s="20"/>
      <c r="H89" s="20"/>
      <c r="I89" s="20"/>
      <c r="J89" s="20"/>
    </row>
    <row r="90" spans="1:10" x14ac:dyDescent="0.35">
      <c r="A90" s="265" t="s">
        <v>230</v>
      </c>
      <c r="B90" s="20">
        <v>0</v>
      </c>
      <c r="C90" s="20">
        <v>0</v>
      </c>
      <c r="D90" s="101">
        <v>5446012.0410000002</v>
      </c>
      <c r="E90" s="20"/>
      <c r="F90" s="20"/>
      <c r="G90" s="20"/>
      <c r="H90" s="20"/>
      <c r="I90" s="20"/>
    </row>
    <row r="91" spans="1:10" x14ac:dyDescent="0.35">
      <c r="A91" s="268" t="s">
        <v>231</v>
      </c>
      <c r="B91" s="24">
        <v>21103608.538739998</v>
      </c>
      <c r="C91" s="24">
        <v>50179110.296439998</v>
      </c>
      <c r="D91" s="24">
        <v>71505472.464999989</v>
      </c>
      <c r="E91" s="24"/>
      <c r="F91" s="24"/>
      <c r="G91" s="24"/>
      <c r="H91" s="24"/>
      <c r="I91" s="24"/>
    </row>
    <row r="92" spans="1:10" x14ac:dyDescent="0.35">
      <c r="A92" s="265"/>
      <c r="B92" s="20"/>
      <c r="C92" s="25"/>
      <c r="D92" s="25"/>
    </row>
    <row r="93" spans="1:10" x14ac:dyDescent="0.35">
      <c r="A93" s="265" t="s">
        <v>233</v>
      </c>
      <c r="B93" s="20">
        <v>9630096</v>
      </c>
      <c r="C93" s="20">
        <v>31802578.397</v>
      </c>
      <c r="D93" s="101">
        <v>38085248.468999997</v>
      </c>
      <c r="E93" s="20"/>
      <c r="F93" s="20"/>
      <c r="G93" s="20"/>
      <c r="H93" s="20"/>
      <c r="I93" s="20"/>
    </row>
    <row r="94" spans="1:10" x14ac:dyDescent="0.35">
      <c r="A94" s="265" t="s">
        <v>234</v>
      </c>
      <c r="B94" s="20">
        <v>1886737</v>
      </c>
      <c r="C94" s="20">
        <v>3685995.2749999999</v>
      </c>
      <c r="D94" s="101">
        <v>2757035.5780000002</v>
      </c>
      <c r="E94" s="202"/>
      <c r="F94" s="202"/>
      <c r="G94" s="202"/>
      <c r="H94" s="202"/>
      <c r="I94" s="202"/>
    </row>
    <row r="95" spans="1:10" x14ac:dyDescent="0.35">
      <c r="A95" s="265" t="s">
        <v>235</v>
      </c>
      <c r="B95" s="20">
        <v>869414</v>
      </c>
      <c r="C95" s="20">
        <v>3304342.1269999999</v>
      </c>
      <c r="D95" s="101">
        <v>896621.66500000004</v>
      </c>
      <c r="E95" s="20"/>
      <c r="F95" s="20"/>
      <c r="G95" s="20"/>
      <c r="H95" s="20"/>
      <c r="I95" s="20"/>
    </row>
    <row r="96" spans="1:10" x14ac:dyDescent="0.35">
      <c r="A96" s="265" t="s">
        <v>236</v>
      </c>
      <c r="B96" s="20">
        <v>214816</v>
      </c>
      <c r="C96" s="20">
        <v>254921.27499999999</v>
      </c>
      <c r="D96" s="101">
        <v>285879.89600000001</v>
      </c>
      <c r="E96" s="20"/>
      <c r="F96" s="20"/>
      <c r="G96" s="20"/>
      <c r="H96" s="20"/>
      <c r="I96" s="20"/>
    </row>
    <row r="97" spans="1:10" x14ac:dyDescent="0.35">
      <c r="A97" s="265" t="s">
        <v>237</v>
      </c>
      <c r="B97" s="20">
        <v>1636224</v>
      </c>
      <c r="C97" s="20">
        <v>1117285.8700000001</v>
      </c>
      <c r="D97" s="101">
        <v>1290834.703</v>
      </c>
      <c r="E97" s="20"/>
      <c r="F97" s="20"/>
      <c r="G97" s="20"/>
      <c r="H97" s="20"/>
      <c r="I97" s="20"/>
    </row>
    <row r="98" spans="1:10" x14ac:dyDescent="0.35">
      <c r="A98" s="265" t="s">
        <v>238</v>
      </c>
      <c r="B98" s="20">
        <f>525824+1657</f>
        <v>527481</v>
      </c>
      <c r="C98" s="20">
        <f>939680.575+15017.057+978032.99</f>
        <v>1932730.622</v>
      </c>
      <c r="D98" s="101">
        <f>1537926.574+6012872.687+1799102.257+2474.709</f>
        <v>9352376.227</v>
      </c>
      <c r="E98" s="20"/>
      <c r="F98" s="20"/>
      <c r="G98" s="20"/>
      <c r="H98" s="20"/>
      <c r="I98" s="20"/>
    </row>
    <row r="99" spans="1:10" x14ac:dyDescent="0.35">
      <c r="A99" s="283" t="s">
        <v>332</v>
      </c>
      <c r="B99" s="20">
        <v>0</v>
      </c>
      <c r="C99" s="20">
        <v>0</v>
      </c>
      <c r="D99" s="101">
        <v>0</v>
      </c>
      <c r="E99" s="20"/>
      <c r="F99" s="20"/>
      <c r="G99" s="20"/>
      <c r="H99" s="20"/>
      <c r="I99" s="20"/>
    </row>
    <row r="100" spans="1:10" x14ac:dyDescent="0.35">
      <c r="A100" s="283" t="s">
        <v>333</v>
      </c>
      <c r="B100" s="20">
        <v>0</v>
      </c>
      <c r="C100" s="20">
        <v>0</v>
      </c>
      <c r="D100" s="101">
        <v>0</v>
      </c>
      <c r="E100" s="20"/>
      <c r="F100" s="20"/>
      <c r="G100" s="20"/>
      <c r="H100" s="20"/>
      <c r="I100" s="20"/>
    </row>
    <row r="101" spans="1:10" x14ac:dyDescent="0.35">
      <c r="A101" s="268" t="s">
        <v>239</v>
      </c>
      <c r="B101" s="26">
        <f t="shared" ref="B101:D101" si="16">+SUM(B93:B100)</f>
        <v>14764768</v>
      </c>
      <c r="C101" s="26">
        <f t="shared" si="16"/>
        <v>42097853.565999992</v>
      </c>
      <c r="D101" s="26">
        <f t="shared" si="16"/>
        <v>52667996.537999995</v>
      </c>
      <c r="E101" s="26"/>
      <c r="F101" s="26"/>
      <c r="G101" s="26"/>
      <c r="H101" s="26"/>
      <c r="I101" s="26"/>
    </row>
    <row r="102" spans="1:10" x14ac:dyDescent="0.35">
      <c r="A102" s="265" t="s">
        <v>240</v>
      </c>
      <c r="B102" s="20">
        <v>2546863</v>
      </c>
      <c r="C102" s="20">
        <v>4000000</v>
      </c>
      <c r="D102" s="101">
        <v>5000000</v>
      </c>
      <c r="E102" s="20"/>
      <c r="F102" s="20"/>
      <c r="G102" s="20"/>
      <c r="H102" s="20"/>
      <c r="I102" s="20"/>
    </row>
    <row r="103" spans="1:10" x14ac:dyDescent="0.35">
      <c r="A103" s="265" t="s">
        <v>241</v>
      </c>
      <c r="B103" s="20">
        <v>0</v>
      </c>
      <c r="C103" s="20">
        <v>0</v>
      </c>
      <c r="D103" s="101">
        <v>4000000</v>
      </c>
      <c r="E103" s="20"/>
      <c r="F103" s="20"/>
      <c r="G103" s="20"/>
      <c r="H103" s="20"/>
      <c r="I103" s="20"/>
    </row>
    <row r="104" spans="1:10" x14ac:dyDescent="0.35">
      <c r="A104" s="265" t="s">
        <v>242</v>
      </c>
      <c r="B104" s="20">
        <v>276081</v>
      </c>
      <c r="C104" s="20">
        <v>325276.67599999998</v>
      </c>
      <c r="D104" s="101">
        <v>354204.60600000003</v>
      </c>
      <c r="E104" s="20"/>
      <c r="F104" s="20"/>
      <c r="G104" s="20"/>
      <c r="H104" s="20"/>
      <c r="I104" s="20"/>
    </row>
    <row r="105" spans="1:10" x14ac:dyDescent="0.35">
      <c r="A105" s="265" t="s">
        <v>243</v>
      </c>
      <c r="B105" s="20">
        <v>1064797</v>
      </c>
      <c r="C105" s="20">
        <v>1064797.149</v>
      </c>
      <c r="D105" s="101">
        <v>1064797.149</v>
      </c>
      <c r="E105" s="20"/>
      <c r="F105" s="20"/>
      <c r="G105" s="20"/>
      <c r="H105" s="20"/>
      <c r="I105" s="20"/>
    </row>
    <row r="106" spans="1:10" x14ac:dyDescent="0.35">
      <c r="A106" s="265" t="s">
        <v>244</v>
      </c>
      <c r="B106" s="20">
        <v>0</v>
      </c>
      <c r="C106" s="20">
        <v>0</v>
      </c>
      <c r="D106" s="101">
        <v>0</v>
      </c>
      <c r="E106" s="20"/>
      <c r="F106" s="20"/>
      <c r="G106" s="20"/>
      <c r="H106" s="20"/>
      <c r="I106" s="20"/>
    </row>
    <row r="107" spans="1:10" x14ac:dyDescent="0.35">
      <c r="A107" s="265" t="s">
        <v>245</v>
      </c>
      <c r="B107" s="20">
        <v>491958.53873999696</v>
      </c>
      <c r="C107" s="20">
        <v>289279.295440007</v>
      </c>
      <c r="D107" s="101">
        <v>310207.15600000136</v>
      </c>
      <c r="E107" s="20"/>
      <c r="F107" s="20"/>
      <c r="G107" s="20"/>
      <c r="H107" s="20"/>
      <c r="I107" s="20"/>
      <c r="J107" s="20"/>
    </row>
    <row r="108" spans="1:10" x14ac:dyDescent="0.35">
      <c r="A108" s="265" t="s">
        <v>246</v>
      </c>
      <c r="B108" s="20">
        <v>1959141</v>
      </c>
      <c r="C108" s="20">
        <v>2401903.61</v>
      </c>
      <c r="D108" s="101">
        <v>2662254.9750000001</v>
      </c>
      <c r="E108" s="20"/>
      <c r="F108" s="20"/>
      <c r="G108" s="20"/>
      <c r="H108" s="20"/>
      <c r="I108" s="20"/>
    </row>
    <row r="109" spans="1:10" x14ac:dyDescent="0.35">
      <c r="A109" s="265" t="s">
        <v>247</v>
      </c>
      <c r="B109" s="20">
        <v>0</v>
      </c>
      <c r="C109" s="20">
        <v>0</v>
      </c>
      <c r="D109" s="101">
        <v>5446012.0410000002</v>
      </c>
      <c r="E109" s="20"/>
      <c r="F109" s="20"/>
      <c r="G109" s="20"/>
      <c r="H109" s="20"/>
      <c r="I109" s="20"/>
      <c r="J109" s="20"/>
    </row>
    <row r="110" spans="1:10" x14ac:dyDescent="0.35">
      <c r="A110" s="268" t="s">
        <v>248</v>
      </c>
      <c r="B110" s="26">
        <v>6338840.538739997</v>
      </c>
      <c r="C110" s="26">
        <v>8081256.7304400075</v>
      </c>
      <c r="D110" s="26">
        <v>18837475.927000001</v>
      </c>
      <c r="E110" s="26"/>
      <c r="F110" s="26"/>
      <c r="G110" s="26"/>
      <c r="H110" s="26"/>
      <c r="I110" s="26"/>
    </row>
    <row r="111" spans="1:10" x14ac:dyDescent="0.35">
      <c r="A111" s="268" t="s">
        <v>249</v>
      </c>
      <c r="B111" s="24">
        <v>21103608.538739998</v>
      </c>
      <c r="C111" s="24">
        <v>50179110.296439998</v>
      </c>
      <c r="D111" s="24">
        <v>71505472.465000004</v>
      </c>
      <c r="E111" s="24"/>
      <c r="F111" s="24"/>
      <c r="G111" s="24"/>
      <c r="H111" s="24"/>
      <c r="I111" s="24"/>
    </row>
    <row r="112" spans="1:10" ht="15.5" x14ac:dyDescent="0.35">
      <c r="A112" s="265" t="s">
        <v>218</v>
      </c>
      <c r="D112" s="49"/>
      <c r="E112" s="20">
        <f>+E91-E111</f>
        <v>0</v>
      </c>
      <c r="F112" s="20">
        <f t="shared" ref="F112:H112" si="17">+F91-F111</f>
        <v>0</v>
      </c>
      <c r="G112" s="20">
        <f t="shared" si="17"/>
        <v>0</v>
      </c>
      <c r="H112" s="20">
        <f t="shared" si="17"/>
        <v>0</v>
      </c>
      <c r="I112" s="20">
        <f>+I91-I111</f>
        <v>0</v>
      </c>
    </row>
    <row r="113" spans="1:9" ht="15" thickBot="1" x14ac:dyDescent="0.4">
      <c r="A113" s="265"/>
    </row>
    <row r="114" spans="1:9" x14ac:dyDescent="0.35">
      <c r="A114" s="275" t="s">
        <v>250</v>
      </c>
      <c r="B114" s="120"/>
      <c r="C114" s="120"/>
      <c r="D114" s="120"/>
      <c r="E114" s="120"/>
      <c r="F114" s="120"/>
      <c r="G114" s="120"/>
      <c r="H114" s="120"/>
      <c r="I114" s="121"/>
    </row>
    <row r="115" spans="1:9" outlineLevel="1" x14ac:dyDescent="0.35">
      <c r="A115" s="269"/>
      <c r="B115" s="122"/>
      <c r="C115" s="122"/>
      <c r="D115" s="122"/>
      <c r="E115" s="122"/>
      <c r="F115" s="122"/>
      <c r="G115" s="122"/>
      <c r="H115" s="122"/>
      <c r="I115" s="123"/>
    </row>
    <row r="116" spans="1:9" outlineLevel="1" x14ac:dyDescent="0.35">
      <c r="A116" s="269" t="s">
        <v>251</v>
      </c>
      <c r="B116" s="206">
        <f>+B81/B16*360</f>
        <v>4.996328402719791</v>
      </c>
      <c r="C116" s="206">
        <f t="shared" ref="C116:D116" si="18">+C81/C16*360</f>
        <v>9.1626657660020978</v>
      </c>
      <c r="D116" s="206">
        <f t="shared" si="18"/>
        <v>4.7430933023526141</v>
      </c>
      <c r="E116" s="206">
        <f>+AVERAGE(B116:D116)</f>
        <v>6.3006958236915009</v>
      </c>
      <c r="F116" s="206">
        <f>+E116</f>
        <v>6.3006958236915009</v>
      </c>
      <c r="G116" s="206">
        <f t="shared" ref="G116:I116" si="19">+F116</f>
        <v>6.3006958236915009</v>
      </c>
      <c r="H116" s="206">
        <f t="shared" si="19"/>
        <v>6.3006958236915009</v>
      </c>
      <c r="I116" s="208">
        <f t="shared" si="19"/>
        <v>6.3006958236915009</v>
      </c>
    </row>
    <row r="117" spans="1:9" outlineLevel="1" x14ac:dyDescent="0.35">
      <c r="A117" s="269" t="s">
        <v>252</v>
      </c>
      <c r="B117" s="122"/>
      <c r="C117" s="122"/>
      <c r="D117" s="122"/>
      <c r="E117" s="210">
        <f>+(E116/360)*E16</f>
        <v>0</v>
      </c>
      <c r="F117" s="210">
        <f t="shared" ref="F117:H117" si="20">+(F116/360)*F16</f>
        <v>0</v>
      </c>
      <c r="G117" s="210">
        <f t="shared" si="20"/>
        <v>0</v>
      </c>
      <c r="H117" s="210">
        <f t="shared" si="20"/>
        <v>0</v>
      </c>
      <c r="I117" s="211">
        <f>+(I116/360)*I16</f>
        <v>0</v>
      </c>
    </row>
    <row r="118" spans="1:9" outlineLevel="1" x14ac:dyDescent="0.35">
      <c r="A118" s="269"/>
      <c r="B118" s="122"/>
      <c r="C118" s="122"/>
      <c r="D118" s="122"/>
      <c r="E118" s="122"/>
      <c r="F118" s="122"/>
      <c r="G118" s="122"/>
      <c r="H118" s="122"/>
      <c r="I118" s="123"/>
    </row>
    <row r="119" spans="1:9" outlineLevel="1" x14ac:dyDescent="0.35">
      <c r="A119" s="269" t="s">
        <v>253</v>
      </c>
      <c r="B119" s="206">
        <f>+(B82/B17)*360</f>
        <v>4.0235020121428109</v>
      </c>
      <c r="C119" s="206">
        <f t="shared" ref="C119:D119" si="21">+(C82/C17)*360</f>
        <v>4.3831507046352227</v>
      </c>
      <c r="D119" s="206">
        <f t="shared" si="21"/>
        <v>3.8912040933633252</v>
      </c>
      <c r="E119" s="206">
        <f>+AVERAGE(B119:D119)</f>
        <v>4.0992856033804523</v>
      </c>
      <c r="F119" s="206">
        <f>+E119</f>
        <v>4.0992856033804523</v>
      </c>
      <c r="G119" s="206">
        <f t="shared" ref="G119:I119" si="22">+F119</f>
        <v>4.0992856033804523</v>
      </c>
      <c r="H119" s="206">
        <f t="shared" si="22"/>
        <v>4.0992856033804523</v>
      </c>
      <c r="I119" s="208">
        <f t="shared" si="22"/>
        <v>4.0992856033804523</v>
      </c>
    </row>
    <row r="120" spans="1:9" outlineLevel="1" x14ac:dyDescent="0.35">
      <c r="A120" s="269" t="s">
        <v>254</v>
      </c>
      <c r="B120" s="122"/>
      <c r="C120" s="122"/>
      <c r="D120" s="122"/>
      <c r="E120" s="210">
        <f>+(E119/360)*E17</f>
        <v>0</v>
      </c>
      <c r="F120" s="210">
        <f>+(F119/360)*F17</f>
        <v>0</v>
      </c>
      <c r="G120" s="210">
        <f t="shared" ref="G120:I120" si="23">+(G119/360)*G17</f>
        <v>0</v>
      </c>
      <c r="H120" s="210">
        <f t="shared" si="23"/>
        <v>0</v>
      </c>
      <c r="I120" s="211">
        <f t="shared" si="23"/>
        <v>0</v>
      </c>
    </row>
    <row r="121" spans="1:9" outlineLevel="1" x14ac:dyDescent="0.35">
      <c r="A121" s="269"/>
      <c r="B121" s="122"/>
      <c r="C121" s="122"/>
      <c r="D121" s="122"/>
      <c r="E121" s="212"/>
      <c r="F121" s="212"/>
      <c r="G121" s="212"/>
      <c r="H121" s="212"/>
      <c r="I121" s="213"/>
    </row>
    <row r="122" spans="1:9" outlineLevel="1" x14ac:dyDescent="0.35">
      <c r="A122" s="269" t="s">
        <v>255</v>
      </c>
      <c r="B122" s="122"/>
      <c r="C122" s="122"/>
      <c r="D122" s="122"/>
      <c r="E122" s="210">
        <v>2000000</v>
      </c>
      <c r="F122" s="210">
        <v>2000000</v>
      </c>
      <c r="G122" s="210">
        <v>1000000</v>
      </c>
      <c r="H122" s="212"/>
      <c r="I122" s="213"/>
    </row>
    <row r="123" spans="1:9" outlineLevel="1" x14ac:dyDescent="0.35">
      <c r="A123" s="269" t="s">
        <v>256</v>
      </c>
      <c r="B123" s="122"/>
      <c r="C123" s="122"/>
      <c r="D123" s="122"/>
      <c r="E123" s="210">
        <f>+E122+D84</f>
        <v>10975926.809999999</v>
      </c>
      <c r="F123" s="210">
        <f t="shared" ref="F123:I123" si="24">+F122+E84</f>
        <v>2000000</v>
      </c>
      <c r="G123" s="210">
        <f t="shared" si="24"/>
        <v>1000000</v>
      </c>
      <c r="H123" s="210">
        <f t="shared" si="24"/>
        <v>0</v>
      </c>
      <c r="I123" s="211">
        <f t="shared" si="24"/>
        <v>0</v>
      </c>
    </row>
    <row r="124" spans="1:9" outlineLevel="1" x14ac:dyDescent="0.35">
      <c r="A124" s="269"/>
      <c r="B124" s="122"/>
      <c r="C124" s="122"/>
      <c r="D124" s="122"/>
      <c r="E124" s="212"/>
      <c r="F124" s="212"/>
      <c r="G124" s="212"/>
      <c r="H124" s="212"/>
      <c r="I124" s="213"/>
    </row>
    <row r="125" spans="1:9" outlineLevel="1" x14ac:dyDescent="0.35">
      <c r="A125" s="269" t="s">
        <v>257</v>
      </c>
      <c r="B125" s="122"/>
      <c r="C125" s="122"/>
      <c r="D125" s="122"/>
      <c r="E125" s="210">
        <v>1000000</v>
      </c>
      <c r="F125" s="210">
        <v>1000000</v>
      </c>
      <c r="G125" s="210">
        <v>1000000</v>
      </c>
      <c r="H125" s="210">
        <v>1000000</v>
      </c>
      <c r="I125" s="211">
        <v>1000000</v>
      </c>
    </row>
    <row r="126" spans="1:9" outlineLevel="1" x14ac:dyDescent="0.35">
      <c r="A126" s="269" t="s">
        <v>258</v>
      </c>
      <c r="B126" s="122"/>
      <c r="C126" s="122"/>
      <c r="D126" s="122"/>
      <c r="E126" s="210">
        <f>D87-E125</f>
        <v>18265707.296</v>
      </c>
      <c r="F126" s="210">
        <f t="shared" ref="F126:I126" si="25">E87-F125</f>
        <v>-1000000</v>
      </c>
      <c r="G126" s="210">
        <f t="shared" si="25"/>
        <v>-1000000</v>
      </c>
      <c r="H126" s="210">
        <f t="shared" si="25"/>
        <v>-1000000</v>
      </c>
      <c r="I126" s="211">
        <f t="shared" si="25"/>
        <v>-1000000</v>
      </c>
    </row>
    <row r="127" spans="1:9" outlineLevel="1" x14ac:dyDescent="0.35">
      <c r="A127" s="269"/>
      <c r="B127" s="122"/>
      <c r="C127" s="122"/>
      <c r="D127" s="122"/>
      <c r="E127" s="122"/>
      <c r="F127" s="122"/>
      <c r="G127" s="122"/>
      <c r="H127" s="122"/>
      <c r="I127" s="123"/>
    </row>
    <row r="128" spans="1:9" outlineLevel="1" x14ac:dyDescent="0.35">
      <c r="A128" s="269" t="s">
        <v>259</v>
      </c>
      <c r="B128" s="206">
        <f>+(B94/B17)*360</f>
        <v>23.772927631360812</v>
      </c>
      <c r="C128" s="206">
        <f t="shared" ref="C128:D128" si="26">+(C94/C17)*360</f>
        <v>47.261761710046379</v>
      </c>
      <c r="D128" s="206">
        <f t="shared" si="26"/>
        <v>38.945810456714177</v>
      </c>
      <c r="E128" s="206">
        <f>+AVERAGE(B128:D128)</f>
        <v>36.660166599373788</v>
      </c>
      <c r="F128" s="206">
        <f>+E128</f>
        <v>36.660166599373788</v>
      </c>
      <c r="G128" s="206">
        <f t="shared" ref="G128:I128" si="27">+F128</f>
        <v>36.660166599373788</v>
      </c>
      <c r="H128" s="206">
        <f t="shared" si="27"/>
        <v>36.660166599373788</v>
      </c>
      <c r="I128" s="208">
        <f t="shared" si="27"/>
        <v>36.660166599373788</v>
      </c>
    </row>
    <row r="129" spans="1:9" outlineLevel="1" x14ac:dyDescent="0.35">
      <c r="A129" s="269" t="s">
        <v>260</v>
      </c>
      <c r="B129" s="122"/>
      <c r="C129" s="122"/>
      <c r="D129" s="122"/>
      <c r="E129" s="210">
        <f>+(E128/360)*E17</f>
        <v>0</v>
      </c>
      <c r="F129" s="210">
        <f t="shared" ref="F129:I129" si="28">+(F128/360)*F17</f>
        <v>0</v>
      </c>
      <c r="G129" s="210">
        <f t="shared" si="28"/>
        <v>0</v>
      </c>
      <c r="H129" s="210">
        <f t="shared" si="28"/>
        <v>0</v>
      </c>
      <c r="I129" s="211">
        <f t="shared" si="28"/>
        <v>0</v>
      </c>
    </row>
    <row r="130" spans="1:9" outlineLevel="1" x14ac:dyDescent="0.35">
      <c r="A130" s="269"/>
      <c r="B130" s="122"/>
      <c r="C130" s="122"/>
      <c r="D130" s="122"/>
      <c r="E130" s="212"/>
      <c r="F130" s="212"/>
      <c r="G130" s="212"/>
      <c r="H130" s="212"/>
      <c r="I130" s="213"/>
    </row>
    <row r="131" spans="1:9" outlineLevel="1" x14ac:dyDescent="0.35">
      <c r="A131" s="269"/>
      <c r="B131" s="122"/>
      <c r="C131" s="122"/>
      <c r="D131" s="122"/>
      <c r="E131" s="212"/>
      <c r="F131" s="212"/>
      <c r="G131" s="212"/>
      <c r="H131" s="212"/>
      <c r="I131" s="213"/>
    </row>
    <row r="132" spans="1:9" outlineLevel="1" x14ac:dyDescent="0.35">
      <c r="A132" s="269" t="s">
        <v>261</v>
      </c>
      <c r="B132" s="122"/>
      <c r="C132" s="122"/>
      <c r="D132" s="122"/>
      <c r="E132" s="210">
        <v>2000000</v>
      </c>
      <c r="F132" s="210">
        <v>2000000</v>
      </c>
      <c r="G132" s="210">
        <v>2000000</v>
      </c>
      <c r="H132" s="210">
        <v>2000000</v>
      </c>
      <c r="I132" s="211">
        <v>2000000</v>
      </c>
    </row>
    <row r="133" spans="1:9" outlineLevel="1" x14ac:dyDescent="0.35">
      <c r="A133" s="269" t="s">
        <v>262</v>
      </c>
      <c r="B133" s="122"/>
      <c r="C133" s="122"/>
      <c r="D133" s="122"/>
      <c r="E133" s="210">
        <f>+D93-E132</f>
        <v>36085248.468999997</v>
      </c>
      <c r="F133" s="210">
        <f t="shared" ref="F133:I133" si="29">+E93-F132</f>
        <v>-2000000</v>
      </c>
      <c r="G133" s="210">
        <f t="shared" si="29"/>
        <v>-2000000</v>
      </c>
      <c r="H133" s="210">
        <f t="shared" si="29"/>
        <v>-2000000</v>
      </c>
      <c r="I133" s="211">
        <f t="shared" si="29"/>
        <v>-2000000</v>
      </c>
    </row>
    <row r="134" spans="1:9" outlineLevel="1" x14ac:dyDescent="0.35">
      <c r="A134" s="269"/>
      <c r="B134" s="122"/>
      <c r="C134" s="122"/>
      <c r="D134" s="122"/>
      <c r="E134" s="210"/>
      <c r="F134" s="210"/>
      <c r="G134" s="210"/>
      <c r="H134" s="210"/>
      <c r="I134" s="211"/>
    </row>
    <row r="135" spans="1:9" outlineLevel="1" x14ac:dyDescent="0.35">
      <c r="A135" s="285" t="s">
        <v>334</v>
      </c>
      <c r="B135" s="122"/>
      <c r="C135" s="122"/>
      <c r="D135" s="122"/>
      <c r="E135" s="210"/>
      <c r="F135" s="210"/>
      <c r="G135" s="210"/>
      <c r="H135" s="210"/>
      <c r="I135" s="211"/>
    </row>
    <row r="136" spans="1:9" outlineLevel="1" x14ac:dyDescent="0.35">
      <c r="A136" s="284" t="s">
        <v>47</v>
      </c>
      <c r="B136" s="122"/>
      <c r="C136" s="124">
        <f>+'Exer 2 Matriz da Dívida'!F42</f>
        <v>0</v>
      </c>
      <c r="D136" s="124">
        <f>+'Exer 2 Matriz da Dívida'!G42</f>
        <v>0</v>
      </c>
      <c r="E136" s="124">
        <f>+'Exer 2 Matriz da Dívida'!H42</f>
        <v>0</v>
      </c>
      <c r="F136" s="124">
        <f>+'Exer 2 Matriz da Dívida'!I42</f>
        <v>0</v>
      </c>
      <c r="G136" s="124">
        <f>+'Exer 2 Matriz da Dívida'!J42</f>
        <v>0</v>
      </c>
      <c r="H136" s="124">
        <f>+'Exer 2 Matriz da Dívida'!K42</f>
        <v>1333333.3333333333</v>
      </c>
      <c r="I136" s="125">
        <f>+'Exer 2 Matriz da Dívida'!L42</f>
        <v>2666666.6666666665</v>
      </c>
    </row>
    <row r="137" spans="1:9" outlineLevel="1" x14ac:dyDescent="0.35">
      <c r="A137" s="284" t="s">
        <v>333</v>
      </c>
      <c r="B137" s="122"/>
      <c r="C137" s="124">
        <f>+'Exer 2 Matriz da Dívida'!F56</f>
        <v>0</v>
      </c>
      <c r="D137" s="124">
        <f>+'Exer 2 Matriz da Dívida'!G56</f>
        <v>0</v>
      </c>
      <c r="E137" s="124">
        <f>+'Exer 2 Matriz da Dívida'!H56</f>
        <v>0</v>
      </c>
      <c r="F137" s="124">
        <f>+'Exer 2 Matriz da Dívida'!I56</f>
        <v>600000</v>
      </c>
      <c r="G137" s="124">
        <f>+'Exer 2 Matriz da Dívida'!J56</f>
        <v>1200000</v>
      </c>
      <c r="H137" s="124">
        <f>+'Exer 2 Matriz da Dívida'!K56</f>
        <v>1800000</v>
      </c>
      <c r="I137" s="125">
        <f>+'Exer 2 Matriz da Dívida'!L56</f>
        <v>2200000</v>
      </c>
    </row>
    <row r="138" spans="1:9" ht="15" outlineLevel="1" thickBot="1" x14ac:dyDescent="0.4">
      <c r="A138" s="276"/>
      <c r="B138" s="132"/>
      <c r="C138" s="132"/>
      <c r="D138" s="132"/>
      <c r="E138" s="132"/>
      <c r="F138" s="132"/>
      <c r="G138" s="132"/>
      <c r="H138" s="132"/>
      <c r="I138" s="142"/>
    </row>
    <row r="139" spans="1:9" outlineLevel="1" x14ac:dyDescent="0.35">
      <c r="A139" s="274"/>
      <c r="B139" s="19"/>
      <c r="C139" s="19"/>
      <c r="D139" s="19"/>
      <c r="E139" s="19"/>
      <c r="F139" s="19"/>
      <c r="G139" s="19"/>
      <c r="H139" s="19"/>
      <c r="I139" s="19"/>
    </row>
    <row r="140" spans="1:9" x14ac:dyDescent="0.35">
      <c r="A140" s="265"/>
      <c r="B140" s="19"/>
      <c r="C140" s="19"/>
      <c r="D140" s="19"/>
      <c r="E140" s="19"/>
      <c r="F140" s="19"/>
      <c r="G140" s="19"/>
      <c r="H140" s="19"/>
      <c r="I140" s="19"/>
    </row>
    <row r="141" spans="1:9" x14ac:dyDescent="0.35">
      <c r="A141" s="265"/>
      <c r="B141" s="19"/>
      <c r="C141" s="19"/>
      <c r="D141" s="19"/>
      <c r="E141" s="19"/>
      <c r="F141" s="19"/>
      <c r="G141" s="19"/>
      <c r="H141" s="19"/>
      <c r="I141" s="19"/>
    </row>
    <row r="142" spans="1:9" x14ac:dyDescent="0.35">
      <c r="A142" s="265"/>
      <c r="B142" s="19"/>
      <c r="C142" s="19"/>
      <c r="D142" s="19"/>
      <c r="E142" s="19"/>
      <c r="F142" s="19"/>
      <c r="G142" s="19"/>
      <c r="H142" s="19"/>
      <c r="I142" s="19"/>
    </row>
    <row r="143" spans="1:9" x14ac:dyDescent="0.35">
      <c r="A143" s="268" t="s">
        <v>264</v>
      </c>
    </row>
    <row r="145" spans="1:9" x14ac:dyDescent="0.35">
      <c r="A145" s="266" t="s">
        <v>265</v>
      </c>
      <c r="E145" s="20"/>
      <c r="F145" s="20"/>
      <c r="G145" s="20"/>
      <c r="H145" s="20"/>
      <c r="I145" s="20"/>
    </row>
    <row r="146" spans="1:9" x14ac:dyDescent="0.35">
      <c r="A146" s="266" t="s">
        <v>266</v>
      </c>
      <c r="E146" s="20"/>
      <c r="F146" s="20"/>
      <c r="G146" s="20"/>
      <c r="H146" s="20"/>
      <c r="I146" s="20"/>
    </row>
    <row r="147" spans="1:9" x14ac:dyDescent="0.35">
      <c r="A147" s="266" t="s">
        <v>267</v>
      </c>
      <c r="E147" s="20"/>
      <c r="F147" s="20"/>
      <c r="G147" s="20"/>
      <c r="H147" s="20"/>
      <c r="I147" s="20"/>
    </row>
    <row r="148" spans="1:9" ht="15" thickBot="1" x14ac:dyDescent="0.4">
      <c r="A148" s="268" t="s">
        <v>268</v>
      </c>
      <c r="E148" s="115"/>
      <c r="F148" s="115"/>
      <c r="G148" s="115"/>
      <c r="H148" s="115"/>
      <c r="I148" s="115"/>
    </row>
    <row r="149" spans="1:9" ht="15" thickTop="1" x14ac:dyDescent="0.35">
      <c r="A149" s="266"/>
    </row>
    <row r="150" spans="1:9" x14ac:dyDescent="0.35">
      <c r="A150" s="266" t="s">
        <v>269</v>
      </c>
      <c r="E150" s="207"/>
      <c r="F150" s="207"/>
      <c r="G150" s="207"/>
      <c r="H150" s="207"/>
      <c r="I150" s="207"/>
    </row>
    <row r="151" spans="1:9" x14ac:dyDescent="0.35">
      <c r="A151" s="266" t="s">
        <v>270</v>
      </c>
      <c r="E151" s="207"/>
      <c r="F151" s="207"/>
      <c r="G151" s="207"/>
      <c r="H151" s="207"/>
      <c r="I151" s="207"/>
    </row>
    <row r="152" spans="1:9" x14ac:dyDescent="0.35">
      <c r="A152" s="266" t="s">
        <v>271</v>
      </c>
      <c r="E152" s="207"/>
      <c r="F152" s="207"/>
      <c r="G152" s="207"/>
      <c r="H152" s="207"/>
      <c r="I152" s="207"/>
    </row>
    <row r="153" spans="1:9" x14ac:dyDescent="0.35">
      <c r="A153" s="266" t="s">
        <v>272</v>
      </c>
      <c r="E153" s="207"/>
      <c r="F153" s="207"/>
      <c r="G153" s="207"/>
      <c r="H153" s="207"/>
      <c r="I153" s="207"/>
    </row>
    <row r="154" spans="1:9" x14ac:dyDescent="0.35">
      <c r="A154" s="266" t="s">
        <v>273</v>
      </c>
      <c r="E154" s="207"/>
      <c r="F154" s="207"/>
      <c r="G154" s="207"/>
      <c r="H154" s="207"/>
      <c r="I154" s="207"/>
    </row>
    <row r="155" spans="1:9" x14ac:dyDescent="0.35">
      <c r="A155" s="266" t="s">
        <v>274</v>
      </c>
      <c r="E155" s="207"/>
      <c r="F155" s="207"/>
      <c r="G155" s="207"/>
      <c r="H155" s="207"/>
      <c r="I155" s="207"/>
    </row>
    <row r="156" spans="1:9" x14ac:dyDescent="0.35">
      <c r="A156" s="266" t="s">
        <v>275</v>
      </c>
      <c r="E156" s="207"/>
      <c r="F156" s="207"/>
      <c r="G156" s="207"/>
      <c r="H156" s="207"/>
      <c r="I156" s="207"/>
    </row>
    <row r="157" spans="1:9" x14ac:dyDescent="0.35">
      <c r="A157" s="266" t="s">
        <v>276</v>
      </c>
      <c r="E157" s="207"/>
      <c r="F157" s="207"/>
      <c r="G157" s="207"/>
      <c r="H157" s="207"/>
      <c r="I157" s="207"/>
    </row>
    <row r="158" spans="1:9" x14ac:dyDescent="0.35">
      <c r="A158" s="266" t="s">
        <v>277</v>
      </c>
      <c r="E158" s="207"/>
      <c r="F158" s="207"/>
      <c r="G158" s="207"/>
      <c r="H158" s="207"/>
      <c r="I158" s="207"/>
    </row>
    <row r="159" spans="1:9" ht="15" thickBot="1" x14ac:dyDescent="0.4">
      <c r="A159" s="268" t="s">
        <v>278</v>
      </c>
      <c r="E159" s="115"/>
      <c r="F159" s="115"/>
      <c r="G159" s="115"/>
      <c r="H159" s="115"/>
      <c r="I159" s="115"/>
    </row>
    <row r="160" spans="1:9" ht="15" thickTop="1" x14ac:dyDescent="0.35">
      <c r="A160" s="266"/>
      <c r="E160" s="207"/>
      <c r="F160" s="207"/>
      <c r="G160" s="207"/>
      <c r="H160" s="207"/>
      <c r="I160" s="207"/>
    </row>
    <row r="161" spans="1:9" x14ac:dyDescent="0.35">
      <c r="A161" s="266" t="s">
        <v>279</v>
      </c>
      <c r="E161" s="207"/>
      <c r="F161" s="207"/>
      <c r="G161" s="207"/>
      <c r="H161" s="207"/>
      <c r="I161" s="207"/>
    </row>
    <row r="162" spans="1:9" x14ac:dyDescent="0.35">
      <c r="A162" s="266" t="s">
        <v>280</v>
      </c>
      <c r="E162" s="207"/>
      <c r="F162" s="207"/>
      <c r="G162" s="207"/>
      <c r="H162" s="207"/>
      <c r="I162" s="207"/>
    </row>
    <row r="163" spans="1:9" ht="15" thickBot="1" x14ac:dyDescent="0.4">
      <c r="A163" s="268" t="s">
        <v>281</v>
      </c>
      <c r="E163" s="115"/>
      <c r="F163" s="115"/>
      <c r="G163" s="115"/>
      <c r="H163" s="115"/>
      <c r="I163" s="115"/>
    </row>
    <row r="164" spans="1:9" ht="15" thickTop="1" x14ac:dyDescent="0.35">
      <c r="A164" s="266"/>
      <c r="E164" s="207"/>
      <c r="F164" s="207"/>
      <c r="G164" s="207"/>
      <c r="H164" s="207"/>
      <c r="I164" s="207"/>
    </row>
    <row r="165" spans="1:9" x14ac:dyDescent="0.35">
      <c r="A165" s="266" t="s">
        <v>335</v>
      </c>
      <c r="E165" s="207"/>
      <c r="F165" s="207"/>
      <c r="G165" s="207"/>
      <c r="H165" s="207"/>
      <c r="I165" s="207"/>
    </row>
    <row r="166" spans="1:9" x14ac:dyDescent="0.35">
      <c r="A166" s="282" t="s">
        <v>332</v>
      </c>
      <c r="E166" s="207"/>
      <c r="F166" s="207"/>
      <c r="G166" s="207"/>
      <c r="H166" s="207"/>
      <c r="I166" s="207"/>
    </row>
    <row r="167" spans="1:9" x14ac:dyDescent="0.35">
      <c r="A167" s="282" t="s">
        <v>336</v>
      </c>
      <c r="E167" s="207"/>
      <c r="F167" s="207"/>
      <c r="G167" s="207"/>
      <c r="H167" s="207"/>
      <c r="I167" s="207"/>
    </row>
    <row r="168" spans="1:9" x14ac:dyDescent="0.35">
      <c r="A168" s="282" t="s">
        <v>337</v>
      </c>
      <c r="E168" s="207"/>
      <c r="F168" s="207"/>
      <c r="G168" s="207"/>
      <c r="H168" s="207"/>
      <c r="I168" s="207"/>
    </row>
    <row r="169" spans="1:9" ht="15" thickBot="1" x14ac:dyDescent="0.4">
      <c r="A169" s="268" t="s">
        <v>284</v>
      </c>
      <c r="E169" s="115"/>
      <c r="F169" s="115"/>
      <c r="G169" s="115"/>
      <c r="H169" s="115"/>
      <c r="I169" s="115"/>
    </row>
    <row r="170" spans="1:9" ht="15" thickTop="1" x14ac:dyDescent="0.35">
      <c r="A170" s="266"/>
      <c r="E170" s="207"/>
      <c r="F170" s="207"/>
      <c r="G170" s="207"/>
      <c r="H170" s="207"/>
      <c r="I170" s="207"/>
    </row>
    <row r="171" spans="1:9" ht="15" thickBot="1" x14ac:dyDescent="0.4">
      <c r="A171" s="267" t="s">
        <v>285</v>
      </c>
      <c r="E171" s="115"/>
      <c r="F171" s="115"/>
      <c r="G171" s="115"/>
      <c r="H171" s="115"/>
      <c r="I171" s="115"/>
    </row>
    <row r="172" spans="1:9" ht="15.5" thickTop="1" thickBot="1" x14ac:dyDescent="0.4">
      <c r="A172" s="267" t="s">
        <v>286</v>
      </c>
      <c r="E172" s="115"/>
      <c r="F172" s="115"/>
      <c r="G172" s="115"/>
      <c r="H172" s="115"/>
      <c r="I172" s="115"/>
    </row>
    <row r="173" spans="1:9" ht="15" thickTop="1" x14ac:dyDescent="0.35">
      <c r="A173" s="266"/>
    </row>
    <row r="174" spans="1:9" ht="15" thickBot="1" x14ac:dyDescent="0.4">
      <c r="A174" s="268" t="s">
        <v>287</v>
      </c>
      <c r="D174" s="209"/>
      <c r="E174" s="209">
        <f>+E171+E172+E166</f>
        <v>0</v>
      </c>
      <c r="F174" s="209">
        <f t="shared" ref="F174:I174" si="30">+F171+F172+F166</f>
        <v>0</v>
      </c>
      <c r="G174" s="209">
        <f t="shared" si="30"/>
        <v>0</v>
      </c>
      <c r="H174" s="209">
        <f t="shared" si="30"/>
        <v>0</v>
      </c>
      <c r="I174" s="209">
        <f t="shared" si="30"/>
        <v>0</v>
      </c>
    </row>
    <row r="175" spans="1:9" ht="15.5" thickTop="1" thickBot="1" x14ac:dyDescent="0.4">
      <c r="A175" s="265"/>
    </row>
    <row r="176" spans="1:9" x14ac:dyDescent="0.35">
      <c r="A176" s="286" t="s">
        <v>338</v>
      </c>
      <c r="B176" s="162"/>
      <c r="C176" s="162"/>
      <c r="D176" s="162"/>
      <c r="E176" s="162"/>
      <c r="F176" s="162"/>
      <c r="G176" s="162"/>
      <c r="H176" s="162"/>
      <c r="I176" s="214"/>
    </row>
    <row r="177" spans="1:9" x14ac:dyDescent="0.35">
      <c r="A177" s="269"/>
      <c r="B177" s="14"/>
      <c r="C177" s="14"/>
      <c r="D177" s="14"/>
      <c r="E177" s="14"/>
      <c r="F177" s="14"/>
      <c r="G177" s="14"/>
      <c r="H177" s="14"/>
      <c r="I177" s="7"/>
    </row>
    <row r="178" spans="1:9" x14ac:dyDescent="0.35">
      <c r="A178" s="269" t="s">
        <v>339</v>
      </c>
      <c r="B178" s="216">
        <v>4000000</v>
      </c>
      <c r="C178" s="14"/>
      <c r="D178" s="14"/>
      <c r="E178" s="14"/>
      <c r="F178" s="14"/>
      <c r="G178" s="14"/>
      <c r="H178" s="14"/>
      <c r="I178" s="7"/>
    </row>
    <row r="179" spans="1:9" x14ac:dyDescent="0.35">
      <c r="A179" s="269" t="s">
        <v>340</v>
      </c>
      <c r="B179" s="14"/>
      <c r="C179" s="14"/>
      <c r="D179" s="14"/>
      <c r="E179" s="124">
        <f>IF(SUM(E145:E147,E149:E158,E160:E162,E164:E165,-E167,E168,E172)&lt;0,-(SUM(E145:E147,E149:E158,E160:E162,E164:E165,-E167,E168,E172)-$B$178),IF(SUM(E145:E147,E149:E158,E160:E162,E164:E165,-E167,E168,E172)&lt;$B$178,$B$178-SUM(E145:E147,E149:E158,E160:E162,E164:E165,-E167,E168,E172),0))</f>
        <v>4000000</v>
      </c>
      <c r="F179" s="124">
        <f t="shared" ref="F179:I179" si="31">IF(SUM(F145:F147,F149:F158,F160:F162,F164:F165,-F167,F168,F172)&lt;0,-(SUM(F145:F147,F149:F158,F160:F162,F164:F165,-F167,F168,F172)-$B$178),IF(SUM(F145:F147,F149:F158,F160:F162,F164:F165,-F167,F168,F172)&lt;$B$178,$B$178-SUM(F145:F147,F149:F158,F160:F162,F164:F165,-F167,F168,F172),0))</f>
        <v>4000000</v>
      </c>
      <c r="G179" s="124">
        <f t="shared" si="31"/>
        <v>4000000</v>
      </c>
      <c r="H179" s="124">
        <f t="shared" si="31"/>
        <v>4000000</v>
      </c>
      <c r="I179" s="125">
        <f t="shared" si="31"/>
        <v>4000000</v>
      </c>
    </row>
    <row r="180" spans="1:9" ht="15" thickBot="1" x14ac:dyDescent="0.4">
      <c r="A180" s="276"/>
      <c r="B180" s="159"/>
      <c r="C180" s="159"/>
      <c r="D180" s="159"/>
      <c r="E180" s="159"/>
      <c r="F180" s="159"/>
      <c r="G180" s="159"/>
      <c r="H180" s="159"/>
      <c r="I180" s="215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P232"/>
  <sheetViews>
    <sheetView showGridLines="0" topLeftCell="A19" zoomScale="62" zoomScaleNormal="80" workbookViewId="0">
      <pane xSplit="1" ySplit="2" topLeftCell="B102" activePane="bottomRight" state="frozen"/>
      <selection activeCell="A19" sqref="A19"/>
      <selection pane="topRight" activeCell="B19" sqref="B19"/>
      <selection pane="bottomLeft" activeCell="A21" sqref="A21"/>
      <selection pane="bottomRight" activeCell="A23" sqref="A23"/>
    </sheetView>
  </sheetViews>
  <sheetFormatPr defaultColWidth="10.90625" defaultRowHeight="14.5" outlineLevelRow="1" x14ac:dyDescent="0.35"/>
  <cols>
    <col min="1" max="1" width="44.36328125" customWidth="1"/>
    <col min="2" max="3" width="12.6328125" bestFit="1" customWidth="1"/>
    <col min="4" max="4" width="14.81640625" customWidth="1"/>
    <col min="5" max="9" width="12.6328125" bestFit="1" customWidth="1"/>
  </cols>
  <sheetData>
    <row r="1" spans="1:9" ht="15.5" x14ac:dyDescent="0.35">
      <c r="A1" s="8" t="s">
        <v>5</v>
      </c>
      <c r="B1" s="9"/>
      <c r="C1" s="9"/>
      <c r="D1" s="9"/>
      <c r="E1" s="9"/>
      <c r="F1" s="9"/>
      <c r="G1" s="9"/>
      <c r="H1" s="9"/>
      <c r="I1" s="9"/>
    </row>
    <row r="2" spans="1:9" x14ac:dyDescent="0.35">
      <c r="A2" s="30" t="s">
        <v>3</v>
      </c>
      <c r="B2" s="10"/>
      <c r="C2" s="10"/>
      <c r="D2" s="10"/>
      <c r="E2" s="10"/>
      <c r="F2" s="10"/>
      <c r="G2" s="10"/>
      <c r="H2" s="10"/>
      <c r="I2" s="10"/>
    </row>
    <row r="3" spans="1:9" x14ac:dyDescent="0.35">
      <c r="A3" s="30" t="s">
        <v>6</v>
      </c>
      <c r="B3" s="10"/>
      <c r="C3" s="10"/>
      <c r="D3" s="10"/>
      <c r="E3" s="10"/>
      <c r="F3" s="10"/>
      <c r="G3" s="10"/>
      <c r="H3" s="10"/>
      <c r="I3" s="10"/>
    </row>
    <row r="4" spans="1:9" x14ac:dyDescent="0.35">
      <c r="A4" t="s">
        <v>23</v>
      </c>
      <c r="B4" s="10"/>
      <c r="C4" s="10"/>
      <c r="D4" s="10"/>
      <c r="E4" s="10"/>
      <c r="F4" s="10"/>
      <c r="G4" s="10"/>
      <c r="H4" s="10"/>
      <c r="I4" s="10"/>
    </row>
    <row r="5" spans="1:9" x14ac:dyDescent="0.35">
      <c r="A5" t="s">
        <v>6</v>
      </c>
      <c r="B5" s="10"/>
      <c r="C5" s="10"/>
      <c r="D5" s="10"/>
      <c r="E5" s="10"/>
      <c r="F5" s="10"/>
      <c r="G5" s="10"/>
      <c r="H5" s="10"/>
      <c r="I5" s="10"/>
    </row>
    <row r="6" spans="1:9" x14ac:dyDescent="0.35">
      <c r="A6" s="11" t="s">
        <v>24</v>
      </c>
      <c r="B6" s="10"/>
      <c r="C6" s="10"/>
      <c r="D6" s="10"/>
      <c r="E6" s="10"/>
      <c r="F6" s="10"/>
      <c r="G6" s="10"/>
      <c r="H6" s="10"/>
      <c r="I6" s="10"/>
    </row>
    <row r="7" spans="1:9" x14ac:dyDescent="0.35">
      <c r="A7" s="11" t="s">
        <v>25</v>
      </c>
      <c r="B7" s="10"/>
      <c r="C7" s="10"/>
      <c r="D7" s="10"/>
      <c r="E7" s="10"/>
      <c r="F7" s="10"/>
      <c r="G7" s="10"/>
      <c r="H7" s="10"/>
      <c r="I7" s="10"/>
    </row>
    <row r="8" spans="1:9" x14ac:dyDescent="0.35">
      <c r="A8" s="11" t="s">
        <v>26</v>
      </c>
      <c r="B8" s="10"/>
      <c r="C8" s="10"/>
      <c r="D8" s="10"/>
      <c r="E8" s="10"/>
      <c r="F8" s="10"/>
      <c r="G8" s="10"/>
      <c r="H8" s="10"/>
      <c r="I8" s="10"/>
    </row>
    <row r="9" spans="1:9" x14ac:dyDescent="0.35">
      <c r="A9" s="11" t="s">
        <v>27</v>
      </c>
      <c r="B9" s="10"/>
      <c r="C9" s="10"/>
      <c r="D9" s="10"/>
      <c r="E9" s="10"/>
      <c r="F9" s="10"/>
      <c r="G9" s="10"/>
      <c r="H9" s="10"/>
      <c r="I9" s="10"/>
    </row>
    <row r="10" spans="1:9" x14ac:dyDescent="0.35">
      <c r="A10" s="11" t="s">
        <v>28</v>
      </c>
      <c r="B10" s="12"/>
      <c r="C10" s="12"/>
      <c r="D10" s="12"/>
      <c r="E10" s="12"/>
      <c r="F10" s="12"/>
      <c r="G10" s="12"/>
      <c r="H10" s="12"/>
      <c r="I10" s="12"/>
    </row>
    <row r="11" spans="1:9" x14ac:dyDescent="0.35">
      <c r="A11" s="11" t="s">
        <v>29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35">
      <c r="A12" s="11"/>
      <c r="B12" s="12"/>
      <c r="C12" s="12"/>
      <c r="D12" s="12"/>
      <c r="E12" s="12"/>
      <c r="F12" s="12"/>
      <c r="G12" s="12"/>
      <c r="H12" s="12"/>
      <c r="I12" s="12"/>
    </row>
    <row r="13" spans="1:9" x14ac:dyDescent="0.35">
      <c r="A13" s="11"/>
      <c r="B13" s="12"/>
      <c r="C13" s="12"/>
      <c r="D13" s="12"/>
      <c r="E13" s="12"/>
      <c r="F13" s="12"/>
      <c r="G13" s="12"/>
      <c r="H13" s="12"/>
      <c r="I13" s="12"/>
    </row>
    <row r="14" spans="1:9" x14ac:dyDescent="0.35">
      <c r="A14" s="11"/>
      <c r="B14" s="12"/>
      <c r="C14" s="12"/>
      <c r="D14" s="12"/>
      <c r="E14" s="12"/>
      <c r="F14" s="12"/>
      <c r="G14" s="12"/>
      <c r="H14" s="12"/>
      <c r="I14" s="12"/>
    </row>
    <row r="15" spans="1:9" x14ac:dyDescent="0.35">
      <c r="A15" s="11"/>
      <c r="B15" s="12"/>
      <c r="C15" s="12"/>
      <c r="D15" s="12"/>
      <c r="E15" s="12"/>
      <c r="F15" s="12"/>
      <c r="G15" s="12"/>
      <c r="H15" s="12"/>
      <c r="I15" s="12"/>
    </row>
    <row r="16" spans="1:9" x14ac:dyDescent="0.35">
      <c r="A16" s="11"/>
      <c r="B16" s="12"/>
      <c r="C16" s="12"/>
      <c r="D16" s="12"/>
      <c r="E16" s="12"/>
      <c r="F16" s="12"/>
      <c r="G16" s="12"/>
      <c r="H16" s="12"/>
      <c r="I16" s="12"/>
    </row>
    <row r="17" spans="1:9" x14ac:dyDescent="0.35">
      <c r="A17" s="11"/>
      <c r="B17" s="12"/>
      <c r="C17" s="12"/>
      <c r="D17" s="12"/>
      <c r="E17" s="12"/>
      <c r="F17" s="12"/>
      <c r="G17" s="12"/>
      <c r="H17" s="12"/>
      <c r="I17" s="12"/>
    </row>
    <row r="18" spans="1:9" x14ac:dyDescent="0.35">
      <c r="A18" s="11"/>
      <c r="B18" s="12"/>
      <c r="C18" s="12"/>
      <c r="D18" s="12"/>
      <c r="E18" s="12"/>
      <c r="F18" s="12"/>
      <c r="G18" s="12"/>
      <c r="H18" s="12"/>
      <c r="I18" s="12"/>
    </row>
    <row r="20" spans="1:9" ht="18" x14ac:dyDescent="0.4">
      <c r="A20" s="3" t="s">
        <v>179</v>
      </c>
      <c r="B20" s="80">
        <v>2019</v>
      </c>
      <c r="C20" s="80">
        <v>2020</v>
      </c>
      <c r="D20" s="80">
        <v>2021</v>
      </c>
      <c r="E20" s="80">
        <v>2022</v>
      </c>
      <c r="F20" s="80">
        <v>2023</v>
      </c>
      <c r="G20" s="80">
        <v>2024</v>
      </c>
      <c r="H20" s="80">
        <v>2025</v>
      </c>
      <c r="I20" s="80">
        <v>2026</v>
      </c>
    </row>
    <row r="21" spans="1:9" x14ac:dyDescent="0.35">
      <c r="A21" s="143"/>
      <c r="B21" s="143"/>
      <c r="C21" s="143"/>
      <c r="D21" s="143"/>
      <c r="E21" s="15"/>
    </row>
    <row r="22" spans="1:9" x14ac:dyDescent="0.35">
      <c r="A22" s="144" t="s">
        <v>322</v>
      </c>
      <c r="B22" s="27">
        <v>38390799.110719994</v>
      </c>
      <c r="C22" s="27">
        <v>39173669.476390004</v>
      </c>
      <c r="D22" s="103">
        <v>39847271.852370001</v>
      </c>
      <c r="E22" s="15">
        <f>+E51</f>
        <v>41106445.6429049</v>
      </c>
      <c r="F22" s="15">
        <f t="shared" ref="F22:I22" si="0">+F51</f>
        <v>42487622.216506511</v>
      </c>
      <c r="G22" s="15">
        <f t="shared" si="0"/>
        <v>43864221.17632132</v>
      </c>
      <c r="H22" s="15">
        <f t="shared" si="0"/>
        <v>45219625.610669643</v>
      </c>
      <c r="I22" s="15">
        <f t="shared" si="0"/>
        <v>46146627.935688369</v>
      </c>
    </row>
    <row r="23" spans="1:9" x14ac:dyDescent="0.35">
      <c r="A23" s="145" t="s">
        <v>181</v>
      </c>
      <c r="B23" s="146">
        <v>28571378.777259998</v>
      </c>
      <c r="C23" s="146">
        <v>28076784.507969998</v>
      </c>
      <c r="D23" s="104">
        <v>25484969.92207</v>
      </c>
      <c r="E23" s="15">
        <f>+E54</f>
        <v>28781593.371798281</v>
      </c>
      <c r="F23" s="15">
        <f t="shared" ref="F23:I23" si="1">+F54</f>
        <v>29748654.909090705</v>
      </c>
      <c r="G23" s="15">
        <f t="shared" si="1"/>
        <v>30712511.328145243</v>
      </c>
      <c r="H23" s="15">
        <f t="shared" si="1"/>
        <v>31661527.928184927</v>
      </c>
      <c r="I23" s="15">
        <f t="shared" si="1"/>
        <v>32310589.250712719</v>
      </c>
    </row>
    <row r="24" spans="1:9" x14ac:dyDescent="0.35">
      <c r="A24" s="3" t="s">
        <v>182</v>
      </c>
      <c r="B24" s="28">
        <v>9819420.3334599957</v>
      </c>
      <c r="C24" s="28">
        <v>11096884.968420006</v>
      </c>
      <c r="D24" s="28">
        <v>14362301.930300001</v>
      </c>
      <c r="E24" s="28">
        <f>+E22-E23</f>
        <v>12324852.271106619</v>
      </c>
      <c r="F24" s="28">
        <f t="shared" ref="F24:I24" si="2">+F22-F23</f>
        <v>12738967.307415806</v>
      </c>
      <c r="G24" s="28">
        <f t="shared" si="2"/>
        <v>13151709.848176077</v>
      </c>
      <c r="H24" s="28">
        <f t="shared" si="2"/>
        <v>13558097.682484716</v>
      </c>
      <c r="I24" s="28">
        <f t="shared" si="2"/>
        <v>13836038.68497565</v>
      </c>
    </row>
    <row r="25" spans="1:9" x14ac:dyDescent="0.35">
      <c r="A25" s="147" t="s">
        <v>183</v>
      </c>
      <c r="B25" s="29">
        <v>0.25577535661970852</v>
      </c>
      <c r="C25" s="29">
        <v>0.28327407456960613</v>
      </c>
      <c r="D25" s="29">
        <v>0.36043375776165598</v>
      </c>
      <c r="E25" s="29">
        <f>+E24/E22</f>
        <v>0.29982772965032378</v>
      </c>
      <c r="F25" s="29">
        <f t="shared" ref="F25:I25" si="3">+F24/F22</f>
        <v>0.29982772965032378</v>
      </c>
      <c r="G25" s="29">
        <f t="shared" si="3"/>
        <v>0.29982772965032378</v>
      </c>
      <c r="H25" s="29">
        <f t="shared" si="3"/>
        <v>0.29982772965032378</v>
      </c>
      <c r="I25" s="29">
        <f t="shared" si="3"/>
        <v>0.29982772965032378</v>
      </c>
    </row>
    <row r="26" spans="1:9" x14ac:dyDescent="0.35">
      <c r="A26" s="143" t="s">
        <v>184</v>
      </c>
      <c r="B26" s="148">
        <v>2857389.3120399993</v>
      </c>
      <c r="C26" s="148">
        <v>3653158.2923900001</v>
      </c>
      <c r="D26" s="20">
        <v>3680486.9404500001</v>
      </c>
      <c r="E26" s="20">
        <f>+E27+E28</f>
        <v>3656656.6795117045</v>
      </c>
      <c r="F26" s="20">
        <f t="shared" ref="F26:I26" si="4">+F27+F28</f>
        <v>3779520.3439432988</v>
      </c>
      <c r="G26" s="20">
        <f t="shared" si="4"/>
        <v>3901976.8030870613</v>
      </c>
      <c r="H26" s="20">
        <f t="shared" si="4"/>
        <v>4022547.8863024507</v>
      </c>
      <c r="I26" s="20">
        <f t="shared" si="4"/>
        <v>4105010.1179716513</v>
      </c>
    </row>
    <row r="27" spans="1:9" x14ac:dyDescent="0.35">
      <c r="A27" s="149" t="s">
        <v>185</v>
      </c>
      <c r="B27" s="150">
        <v>1142955.7248159999</v>
      </c>
      <c r="C27" s="150">
        <v>1461263.3169560002</v>
      </c>
      <c r="D27" s="105">
        <v>1472194.77618</v>
      </c>
      <c r="E27" s="36">
        <f>+E56</f>
        <v>1518716.1311072882</v>
      </c>
      <c r="F27" s="36">
        <f t="shared" ref="F27:I27" si="5">+F56</f>
        <v>1569744.9931124931</v>
      </c>
      <c r="G27" s="36">
        <f t="shared" si="5"/>
        <v>1620604.7308893378</v>
      </c>
      <c r="H27" s="36">
        <f t="shared" si="5"/>
        <v>1670681.4170738182</v>
      </c>
      <c r="I27" s="36">
        <f t="shared" si="5"/>
        <v>1704930.3861238314</v>
      </c>
    </row>
    <row r="28" spans="1:9" x14ac:dyDescent="0.35">
      <c r="A28" s="149" t="s">
        <v>186</v>
      </c>
      <c r="B28" s="150">
        <v>1714433.5872239994</v>
      </c>
      <c r="C28" s="150">
        <v>2191894.9754339997</v>
      </c>
      <c r="D28" s="105">
        <v>2208292.1642700001</v>
      </c>
      <c r="E28" s="36">
        <f>+E59</f>
        <v>2137940.5484044165</v>
      </c>
      <c r="F28" s="36">
        <f t="shared" ref="F28:I28" si="6">+F59</f>
        <v>2209775.3508308055</v>
      </c>
      <c r="G28" s="36">
        <f t="shared" si="6"/>
        <v>2281372.0721977237</v>
      </c>
      <c r="H28" s="36">
        <f t="shared" si="6"/>
        <v>2351866.4692286327</v>
      </c>
      <c r="I28" s="36">
        <f t="shared" si="6"/>
        <v>2400079.7318478199</v>
      </c>
    </row>
    <row r="29" spans="1:9" x14ac:dyDescent="0.35">
      <c r="A29" s="3" t="s">
        <v>187</v>
      </c>
      <c r="B29" s="16">
        <v>6962031.0214199964</v>
      </c>
      <c r="C29" s="16">
        <v>7443726.6760300063</v>
      </c>
      <c r="D29" s="28">
        <v>10681814.989850001</v>
      </c>
      <c r="E29" s="16">
        <f>+E24-E26</f>
        <v>8668195.5915949158</v>
      </c>
      <c r="F29" s="16">
        <f t="shared" ref="F29:I29" si="7">+F24-F26</f>
        <v>8959446.9634725079</v>
      </c>
      <c r="G29" s="16">
        <f t="shared" si="7"/>
        <v>9249733.0450890157</v>
      </c>
      <c r="H29" s="16">
        <f t="shared" si="7"/>
        <v>9535549.7961822655</v>
      </c>
      <c r="I29" s="16">
        <f t="shared" si="7"/>
        <v>9731028.5670039989</v>
      </c>
    </row>
    <row r="30" spans="1:9" x14ac:dyDescent="0.35">
      <c r="A30" s="18" t="s">
        <v>188</v>
      </c>
      <c r="B30" s="19">
        <v>0.18134634294382179</v>
      </c>
      <c r="C30" s="19">
        <v>0.19001862157734151</v>
      </c>
      <c r="D30" s="29">
        <v>0.2680689164725007</v>
      </c>
      <c r="E30" s="19">
        <f>+E29/E22</f>
        <v>0.21087193154320005</v>
      </c>
      <c r="F30" s="19">
        <f t="shared" ref="F30:I30" si="8">+F29/F22</f>
        <v>0.21087193154320008</v>
      </c>
      <c r="G30" s="19">
        <f t="shared" si="8"/>
        <v>0.21087193154320005</v>
      </c>
      <c r="H30" s="19">
        <f t="shared" si="8"/>
        <v>0.21087193154320008</v>
      </c>
      <c r="I30" s="19">
        <f t="shared" si="8"/>
        <v>0.2108719315432</v>
      </c>
    </row>
    <row r="31" spans="1:9" x14ac:dyDescent="0.35">
      <c r="A31" t="s">
        <v>189</v>
      </c>
      <c r="B31" s="20">
        <v>937849.91023000004</v>
      </c>
      <c r="C31" s="20">
        <v>3219652.2199999988</v>
      </c>
      <c r="D31" s="101">
        <v>3916312.8818399995</v>
      </c>
      <c r="E31" s="20">
        <f>+E61</f>
        <v>4162717.6576616992</v>
      </c>
      <c r="F31" s="20">
        <f t="shared" ref="F31:I31" si="9">+F61</f>
        <v>4171603.1997310915</v>
      </c>
      <c r="G31" s="20">
        <f t="shared" si="9"/>
        <v>4353740.1720502367</v>
      </c>
      <c r="H31" s="20">
        <f t="shared" si="9"/>
        <v>4078222.567293759</v>
      </c>
      <c r="I31" s="20">
        <f t="shared" si="9"/>
        <v>3712451.6599848708</v>
      </c>
    </row>
    <row r="32" spans="1:9" x14ac:dyDescent="0.35">
      <c r="A32" t="s">
        <v>190</v>
      </c>
      <c r="B32" s="20">
        <v>1553754.1523000002</v>
      </c>
      <c r="C32" s="20">
        <v>1370947.92906</v>
      </c>
      <c r="D32" s="101">
        <v>1224787.4194499999</v>
      </c>
      <c r="E32" s="20">
        <f>+E64</f>
        <v>949799.36969279998</v>
      </c>
      <c r="F32" s="20">
        <f t="shared" ref="F32:I32" si="10">+F64</f>
        <v>842049.1063456001</v>
      </c>
      <c r="G32" s="20">
        <f t="shared" si="10"/>
        <v>937527.90617279999</v>
      </c>
      <c r="H32" s="20">
        <f t="shared" si="10"/>
        <v>862082.48668800003</v>
      </c>
      <c r="I32" s="20">
        <f t="shared" si="10"/>
        <v>746493.08677439997</v>
      </c>
    </row>
    <row r="33" spans="1:11" x14ac:dyDescent="0.35">
      <c r="A33" t="s">
        <v>191</v>
      </c>
      <c r="B33" s="20">
        <v>360843.38334000006</v>
      </c>
      <c r="C33" s="20">
        <v>228086.46049999999</v>
      </c>
      <c r="D33" s="101">
        <v>772498.42904999992</v>
      </c>
      <c r="E33" s="20">
        <f>+E65</f>
        <v>796909.37940798001</v>
      </c>
      <c r="F33" s="20">
        <f t="shared" ref="F33:I33" si="11">+F65</f>
        <v>823685.53455608815</v>
      </c>
      <c r="G33" s="20">
        <f t="shared" si="11"/>
        <v>850372.94587570545</v>
      </c>
      <c r="H33" s="20">
        <f t="shared" si="11"/>
        <v>876649.46990326466</v>
      </c>
      <c r="I33" s="20">
        <f t="shared" si="11"/>
        <v>894620.78403628152</v>
      </c>
    </row>
    <row r="34" spans="1:11" x14ac:dyDescent="0.35">
      <c r="A34" t="s">
        <v>192</v>
      </c>
      <c r="B34" s="20">
        <v>5591989.3414099999</v>
      </c>
      <c r="C34" s="20">
        <v>4373012.6291500004</v>
      </c>
      <c r="D34" s="101">
        <v>5923903.9424099997</v>
      </c>
      <c r="E34" s="20">
        <f>+E68</f>
        <v>3288515.6514323922</v>
      </c>
      <c r="F34" s="20">
        <f t="shared" ref="F34:I34" si="12">+F68</f>
        <v>3399009.777320521</v>
      </c>
      <c r="G34" s="20">
        <f t="shared" si="12"/>
        <v>3509137.6941057057</v>
      </c>
      <c r="H34" s="20">
        <f t="shared" si="12"/>
        <v>3617570.0488535715</v>
      </c>
      <c r="I34" s="20">
        <f t="shared" si="12"/>
        <v>3691730.2348550698</v>
      </c>
    </row>
    <row r="35" spans="1:11" x14ac:dyDescent="0.35">
      <c r="A35" s="3" t="s">
        <v>193</v>
      </c>
      <c r="B35" s="16">
        <v>1625102.538739997</v>
      </c>
      <c r="C35" s="16">
        <v>993923.295440007</v>
      </c>
      <c r="D35" s="16">
        <f>+D29-D31+D32-D33-D34</f>
        <v>1293887.1560000014</v>
      </c>
      <c r="E35" s="16">
        <f>+E29-E31+E32-E33-E34</f>
        <v>1369852.272785644</v>
      </c>
      <c r="F35" s="16">
        <f t="shared" ref="F35:I35" si="13">+F29-F31+F32-F33-F34</f>
        <v>1407197.5582104083</v>
      </c>
      <c r="G35" s="16">
        <f t="shared" si="13"/>
        <v>1474010.139230168</v>
      </c>
      <c r="H35" s="16">
        <f t="shared" si="13"/>
        <v>1825190.1968196696</v>
      </c>
      <c r="I35" s="16">
        <f t="shared" si="13"/>
        <v>2178718.9749021772</v>
      </c>
    </row>
    <row r="36" spans="1:11" x14ac:dyDescent="0.35">
      <c r="A36" t="s">
        <v>194</v>
      </c>
      <c r="B36" s="20">
        <v>1133144</v>
      </c>
      <c r="C36" s="20">
        <v>704644</v>
      </c>
      <c r="D36" s="101">
        <v>983680</v>
      </c>
      <c r="E36" s="20">
        <f>+E78</f>
        <v>452051.25001926254</v>
      </c>
      <c r="F36" s="20">
        <f t="shared" ref="F36:I36" si="14">+F78</f>
        <v>464375.19420943479</v>
      </c>
      <c r="G36" s="20">
        <f t="shared" si="14"/>
        <v>486423.34594595543</v>
      </c>
      <c r="H36" s="20">
        <f t="shared" si="14"/>
        <v>602312.76495049102</v>
      </c>
      <c r="I36" s="20">
        <f t="shared" si="14"/>
        <v>718977.26171771856</v>
      </c>
    </row>
    <row r="37" spans="1:11" x14ac:dyDescent="0.35">
      <c r="A37" s="3" t="s">
        <v>195</v>
      </c>
      <c r="B37" s="16">
        <v>491958.53873999696</v>
      </c>
      <c r="C37" s="16">
        <v>289279.295440007</v>
      </c>
      <c r="D37" s="16">
        <v>310207.15600000136</v>
      </c>
      <c r="E37" s="16">
        <f>+E35-E36</f>
        <v>917801.0227663815</v>
      </c>
      <c r="F37" s="16">
        <f t="shared" ref="F37:I37" si="15">+F35-F36</f>
        <v>942822.36400097352</v>
      </c>
      <c r="G37" s="16">
        <f t="shared" si="15"/>
        <v>987586.79328421247</v>
      </c>
      <c r="H37" s="16">
        <f t="shared" si="15"/>
        <v>1222877.4318691785</v>
      </c>
      <c r="I37" s="16">
        <f t="shared" si="15"/>
        <v>1459741.7131844587</v>
      </c>
    </row>
    <row r="38" spans="1:11" x14ac:dyDescent="0.35">
      <c r="A38" s="18" t="s">
        <v>196</v>
      </c>
      <c r="B38" s="19">
        <v>1.2814490714850104E-2</v>
      </c>
      <c r="C38" s="19">
        <v>7.3845340328496881E-3</v>
      </c>
      <c r="D38" s="19">
        <v>7.7849032463072152E-3</v>
      </c>
      <c r="E38" s="19">
        <f>+E37/E22</f>
        <v>2.2327423556378363E-2</v>
      </c>
      <c r="F38" s="19">
        <f t="shared" ref="F38:I38" si="16">+F37/F22</f>
        <v>2.2190518433735401E-2</v>
      </c>
      <c r="G38" s="19">
        <f t="shared" si="16"/>
        <v>2.2514631898156879E-2</v>
      </c>
      <c r="H38" s="19">
        <f t="shared" si="16"/>
        <v>2.7043068476459008E-2</v>
      </c>
      <c r="I38" s="19">
        <f t="shared" si="16"/>
        <v>3.1632684304014766E-2</v>
      </c>
    </row>
    <row r="39" spans="1:11" x14ac:dyDescent="0.35">
      <c r="B39" s="20"/>
      <c r="C39" s="20"/>
      <c r="D39" s="19"/>
      <c r="E39" s="20"/>
      <c r="F39" s="20"/>
      <c r="G39" s="20"/>
      <c r="H39" s="20"/>
      <c r="I39" s="20"/>
    </row>
    <row r="41" spans="1:11" x14ac:dyDescent="0.35">
      <c r="A41" s="3" t="s">
        <v>187</v>
      </c>
      <c r="B41" s="17">
        <v>6962031.0214199964</v>
      </c>
      <c r="C41" s="17">
        <v>7443726.6760300063</v>
      </c>
      <c r="D41" s="17">
        <v>10681814.989850001</v>
      </c>
      <c r="E41" s="17">
        <f>+E29</f>
        <v>8668195.5915949158</v>
      </c>
      <c r="F41" s="17">
        <f t="shared" ref="F41:I41" si="17">+F29</f>
        <v>8959446.9634725079</v>
      </c>
      <c r="G41" s="17">
        <f t="shared" si="17"/>
        <v>9249733.0450890157</v>
      </c>
      <c r="H41" s="17">
        <f t="shared" si="17"/>
        <v>9535549.7961822655</v>
      </c>
      <c r="I41" s="17">
        <f t="shared" si="17"/>
        <v>9731028.5670039989</v>
      </c>
      <c r="K41" s="204"/>
    </row>
    <row r="42" spans="1:11" x14ac:dyDescent="0.35">
      <c r="A42" t="s">
        <v>197</v>
      </c>
      <c r="B42" s="20">
        <v>649401.72699999996</v>
      </c>
      <c r="C42" s="20">
        <v>617593.03899999999</v>
      </c>
      <c r="D42" s="101">
        <v>424026.16282999999</v>
      </c>
      <c r="E42" s="20">
        <f>+E70</f>
        <v>395259.93059999991</v>
      </c>
      <c r="F42" s="20">
        <f>+F70</f>
        <v>555733.93753999996</v>
      </c>
      <c r="G42" s="20">
        <f>+G70</f>
        <v>700160.54378599999</v>
      </c>
      <c r="H42" s="20">
        <f>+H70</f>
        <v>730144.4894073999</v>
      </c>
      <c r="I42" s="20">
        <f>+I70</f>
        <v>657130.04046665994</v>
      </c>
    </row>
    <row r="43" spans="1:11" x14ac:dyDescent="0.35">
      <c r="A43" t="s">
        <v>58</v>
      </c>
      <c r="B43" s="20">
        <v>29936.858179999999</v>
      </c>
      <c r="C43" s="20">
        <v>34841.352599999991</v>
      </c>
      <c r="D43" s="101">
        <v>27165.180390000001</v>
      </c>
      <c r="E43" s="20">
        <f>+E76</f>
        <v>1089202.4082000002</v>
      </c>
      <c r="F43" s="20">
        <f t="shared" ref="F43:I43" si="18">+F76</f>
        <v>871361.92656000005</v>
      </c>
      <c r="G43" s="20">
        <f t="shared" si="18"/>
        <v>697089.54124799999</v>
      </c>
      <c r="H43" s="20">
        <f t="shared" si="18"/>
        <v>557671.63299840002</v>
      </c>
      <c r="I43" s="20">
        <f t="shared" si="18"/>
        <v>446137.30639872001</v>
      </c>
    </row>
    <row r="44" spans="1:11" x14ac:dyDescent="0.35">
      <c r="A44" t="s">
        <v>198</v>
      </c>
      <c r="B44" s="20">
        <v>0</v>
      </c>
      <c r="C44" s="20">
        <v>413857.03700000001</v>
      </c>
      <c r="D44" s="20">
        <v>0</v>
      </c>
      <c r="E44" s="20">
        <f>+D44</f>
        <v>0</v>
      </c>
      <c r="F44" s="20">
        <f t="shared" ref="F44:I44" si="19">+E44</f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</row>
    <row r="45" spans="1:11" x14ac:dyDescent="0.35">
      <c r="A45" t="s">
        <v>192</v>
      </c>
      <c r="B45" s="20">
        <v>0</v>
      </c>
      <c r="C45" s="20">
        <v>0</v>
      </c>
      <c r="D45" s="20">
        <v>0</v>
      </c>
      <c r="E45" s="20">
        <f>+D45</f>
        <v>0</v>
      </c>
      <c r="F45" s="20">
        <f t="shared" ref="F45:I45" si="20">+E45</f>
        <v>0</v>
      </c>
      <c r="G45" s="20">
        <f t="shared" si="20"/>
        <v>0</v>
      </c>
      <c r="H45" s="20">
        <f t="shared" si="20"/>
        <v>0</v>
      </c>
      <c r="I45" s="20">
        <f t="shared" si="20"/>
        <v>0</v>
      </c>
    </row>
    <row r="46" spans="1:11" x14ac:dyDescent="0.35">
      <c r="A46" s="3" t="s">
        <v>11</v>
      </c>
      <c r="B46" s="16">
        <v>7641369.6065999968</v>
      </c>
      <c r="C46" s="16">
        <v>8510018.1046300065</v>
      </c>
      <c r="D46" s="16">
        <v>11133006.333070002</v>
      </c>
      <c r="E46" s="16">
        <f>+SUM(E41:E45)</f>
        <v>10152657.930394916</v>
      </c>
      <c r="F46" s="16">
        <f t="shared" ref="F46:I46" si="21">+SUM(F41:F45)</f>
        <v>10386542.827572508</v>
      </c>
      <c r="G46" s="16">
        <f t="shared" si="21"/>
        <v>10646983.130123015</v>
      </c>
      <c r="H46" s="16">
        <f t="shared" si="21"/>
        <v>10823365.918588065</v>
      </c>
      <c r="I46" s="16">
        <f t="shared" si="21"/>
        <v>10834295.913869379</v>
      </c>
    </row>
    <row r="47" spans="1:11" x14ac:dyDescent="0.35">
      <c r="A47" s="18" t="s">
        <v>199</v>
      </c>
      <c r="B47" s="19">
        <v>0.19904169185335532</v>
      </c>
      <c r="C47" s="19">
        <v>0.21723821685275105</v>
      </c>
      <c r="D47" s="19">
        <v>0.279391933638936</v>
      </c>
      <c r="E47" s="19">
        <f>+E46/E22</f>
        <v>0.24698457313949976</v>
      </c>
      <c r="F47" s="19">
        <f t="shared" ref="F47:I47" si="22">+F46/F22</f>
        <v>0.24446044014054802</v>
      </c>
      <c r="G47" s="19">
        <f t="shared" si="22"/>
        <v>0.24272591293312293</v>
      </c>
      <c r="H47" s="19">
        <f t="shared" si="22"/>
        <v>0.23935107317726828</v>
      </c>
      <c r="I47" s="19">
        <f t="shared" si="22"/>
        <v>0.23477979645595018</v>
      </c>
    </row>
    <row r="48" spans="1:11" ht="15" thickBot="1" x14ac:dyDescent="0.4">
      <c r="B48" s="19"/>
      <c r="C48" s="19"/>
      <c r="D48" s="19"/>
      <c r="E48" s="19"/>
      <c r="F48" s="19"/>
      <c r="G48" s="19"/>
      <c r="H48" s="19"/>
      <c r="I48" s="19"/>
    </row>
    <row r="49" spans="1:9" x14ac:dyDescent="0.35">
      <c r="A49" s="119" t="s">
        <v>200</v>
      </c>
      <c r="B49" s="120"/>
      <c r="C49" s="120"/>
      <c r="D49" s="120"/>
      <c r="E49" s="120"/>
      <c r="F49" s="120"/>
      <c r="G49" s="120"/>
      <c r="H49" s="120"/>
      <c r="I49" s="121"/>
    </row>
    <row r="50" spans="1:9" outlineLevel="1" x14ac:dyDescent="0.35">
      <c r="A50" s="5"/>
      <c r="B50" s="122"/>
      <c r="C50" s="122"/>
      <c r="D50" s="122"/>
      <c r="E50" s="122"/>
      <c r="F50" s="122"/>
      <c r="G50" s="122"/>
      <c r="H50" s="122"/>
      <c r="I50" s="123"/>
    </row>
    <row r="51" spans="1:9" outlineLevel="1" x14ac:dyDescent="0.35">
      <c r="A51" s="5" t="s">
        <v>201</v>
      </c>
      <c r="B51" s="122"/>
      <c r="C51" s="122"/>
      <c r="D51" s="122"/>
      <c r="E51" s="124">
        <f>+D22*(1+'Premissas Macro'!C5)</f>
        <v>41106445.6429049</v>
      </c>
      <c r="F51" s="124">
        <f>+E51*(1+'Premissas Macro'!D5)</f>
        <v>42487622.216506511</v>
      </c>
      <c r="G51" s="124">
        <f>+F51*(1+'Premissas Macro'!E5)</f>
        <v>43864221.17632132</v>
      </c>
      <c r="H51" s="124">
        <f>+G51*(1+'Premissas Macro'!F5)</f>
        <v>45219625.610669643</v>
      </c>
      <c r="I51" s="125">
        <f>+H51*(1+'Premissas Macro'!G5)</f>
        <v>46146627.935688369</v>
      </c>
    </row>
    <row r="52" spans="1:9" outlineLevel="1" x14ac:dyDescent="0.35">
      <c r="A52" s="5"/>
      <c r="B52" s="122"/>
      <c r="C52" s="122"/>
      <c r="D52" s="122"/>
      <c r="E52" s="124"/>
      <c r="F52" s="124"/>
      <c r="G52" s="124"/>
      <c r="H52" s="124"/>
      <c r="I52" s="125"/>
    </row>
    <row r="53" spans="1:9" outlineLevel="1" x14ac:dyDescent="0.35">
      <c r="A53" s="5" t="s">
        <v>202</v>
      </c>
      <c r="B53" s="122">
        <f>+B23/B22</f>
        <v>0.74422464338029148</v>
      </c>
      <c r="C53" s="122">
        <f>+C23/C22</f>
        <v>0.71672592543039382</v>
      </c>
      <c r="D53" s="122">
        <f>+D23/D22</f>
        <v>0.63956624223834357</v>
      </c>
      <c r="E53" s="126">
        <f>+AVERAGE(B53:D53)</f>
        <v>0.70017227034967622</v>
      </c>
      <c r="F53" s="197">
        <f>+E53</f>
        <v>0.70017227034967622</v>
      </c>
      <c r="G53" s="126">
        <f>+F53</f>
        <v>0.70017227034967622</v>
      </c>
      <c r="H53" s="126">
        <f t="shared" ref="H53" si="23">+G53</f>
        <v>0.70017227034967622</v>
      </c>
      <c r="I53" s="127">
        <f>+H53</f>
        <v>0.70017227034967622</v>
      </c>
    </row>
    <row r="54" spans="1:9" outlineLevel="1" x14ac:dyDescent="0.35">
      <c r="A54" s="5" t="s">
        <v>203</v>
      </c>
      <c r="B54" s="122"/>
      <c r="C54" s="122"/>
      <c r="D54" s="122"/>
      <c r="E54" s="124">
        <f>+E53*E22</f>
        <v>28781593.371798281</v>
      </c>
      <c r="F54" s="124">
        <f t="shared" ref="F54:I54" si="24">+F53*F22</f>
        <v>29748654.909090705</v>
      </c>
      <c r="G54" s="124">
        <f t="shared" si="24"/>
        <v>30712511.328145243</v>
      </c>
      <c r="H54" s="124">
        <f t="shared" si="24"/>
        <v>31661527.928184927</v>
      </c>
      <c r="I54" s="125">
        <f t="shared" si="24"/>
        <v>32310589.250712719</v>
      </c>
    </row>
    <row r="55" spans="1:9" outlineLevel="1" x14ac:dyDescent="0.35">
      <c r="A55" s="5"/>
      <c r="B55" s="122"/>
      <c r="C55" s="122"/>
      <c r="D55" s="122"/>
      <c r="E55" s="124"/>
      <c r="F55" s="124"/>
      <c r="G55" s="124"/>
      <c r="H55" s="124"/>
      <c r="I55" s="125"/>
    </row>
    <row r="56" spans="1:9" outlineLevel="1" x14ac:dyDescent="0.35">
      <c r="A56" s="5" t="s">
        <v>204</v>
      </c>
      <c r="B56" s="122"/>
      <c r="C56" s="122"/>
      <c r="D56" s="122"/>
      <c r="E56" s="124">
        <f>+D27*(1+'Premissas Macro'!C5)</f>
        <v>1518716.1311072882</v>
      </c>
      <c r="F56" s="124">
        <f>+E56*(1+'Premissas Macro'!D5)</f>
        <v>1569744.9931124931</v>
      </c>
      <c r="G56" s="124">
        <f>+F56*(1+'Premissas Macro'!E5)</f>
        <v>1620604.7308893378</v>
      </c>
      <c r="H56" s="124">
        <f>+G56*(1+'Premissas Macro'!F5)</f>
        <v>1670681.4170738182</v>
      </c>
      <c r="I56" s="125">
        <f>+H56*(1+'Premissas Macro'!G5)</f>
        <v>1704930.3861238314</v>
      </c>
    </row>
    <row r="57" spans="1:9" outlineLevel="1" x14ac:dyDescent="0.35">
      <c r="A57" s="5"/>
      <c r="B57" s="122"/>
      <c r="C57" s="122"/>
      <c r="D57" s="122"/>
      <c r="E57" s="124"/>
      <c r="F57" s="124"/>
      <c r="G57" s="124"/>
      <c r="H57" s="124"/>
      <c r="I57" s="125"/>
    </row>
    <row r="58" spans="1:9" outlineLevel="1" x14ac:dyDescent="0.35">
      <c r="A58" s="5" t="s">
        <v>205</v>
      </c>
      <c r="B58" s="122">
        <f>+B28/B22</f>
        <v>4.4657408205532045E-2</v>
      </c>
      <c r="C58" s="122">
        <f t="shared" ref="C58:D58" si="25">+C28/C22</f>
        <v>5.5953271795358771E-2</v>
      </c>
      <c r="D58" s="122">
        <f t="shared" si="25"/>
        <v>5.5418904773493476E-2</v>
      </c>
      <c r="E58" s="126">
        <f>+AVERAGE(B58:D58)</f>
        <v>5.2009861591461433E-2</v>
      </c>
      <c r="F58" s="126">
        <f>+E58</f>
        <v>5.2009861591461433E-2</v>
      </c>
      <c r="G58" s="126">
        <f t="shared" ref="G58:I58" si="26">+F58</f>
        <v>5.2009861591461433E-2</v>
      </c>
      <c r="H58" s="126">
        <f t="shared" si="26"/>
        <v>5.2009861591461433E-2</v>
      </c>
      <c r="I58" s="127">
        <f t="shared" si="26"/>
        <v>5.2009861591461433E-2</v>
      </c>
    </row>
    <row r="59" spans="1:9" outlineLevel="1" x14ac:dyDescent="0.35">
      <c r="A59" s="5" t="s">
        <v>206</v>
      </c>
      <c r="B59" s="122"/>
      <c r="C59" s="122"/>
      <c r="D59" s="122"/>
      <c r="E59" s="124">
        <f>+E58*E22</f>
        <v>2137940.5484044165</v>
      </c>
      <c r="F59" s="124">
        <f t="shared" ref="F59:H59" si="27">+F58*F22</f>
        <v>2209775.3508308055</v>
      </c>
      <c r="G59" s="124">
        <f t="shared" si="27"/>
        <v>2281372.0721977237</v>
      </c>
      <c r="H59" s="124">
        <f t="shared" si="27"/>
        <v>2351866.4692286327</v>
      </c>
      <c r="I59" s="124">
        <f>+I58*I22</f>
        <v>2400079.7318478199</v>
      </c>
    </row>
    <row r="60" spans="1:9" outlineLevel="1" x14ac:dyDescent="0.35">
      <c r="A60" s="5"/>
      <c r="B60" s="122"/>
      <c r="C60" s="122"/>
      <c r="D60" s="122"/>
      <c r="E60" s="124"/>
      <c r="F60" s="124"/>
      <c r="G60" s="124"/>
      <c r="H60" s="124"/>
      <c r="I60" s="125"/>
    </row>
    <row r="61" spans="1:9" outlineLevel="1" x14ac:dyDescent="0.35">
      <c r="A61" s="5" t="s">
        <v>207</v>
      </c>
      <c r="B61" s="122"/>
      <c r="C61" s="122"/>
      <c r="D61" s="122"/>
      <c r="E61" s="124">
        <f>+E62*D99</f>
        <v>4162717.6576616992</v>
      </c>
      <c r="F61" s="124">
        <f>+F62*E99</f>
        <v>4171603.1997310915</v>
      </c>
      <c r="G61" s="124">
        <f>+G62*F99</f>
        <v>4353740.1720502367</v>
      </c>
      <c r="H61" s="124">
        <f>+H62*G99</f>
        <v>4078222.567293759</v>
      </c>
      <c r="I61" s="125">
        <f>+I62*H99</f>
        <v>3712451.6599848708</v>
      </c>
    </row>
    <row r="62" spans="1:9" outlineLevel="1" x14ac:dyDescent="0.35">
      <c r="A62" s="5" t="s">
        <v>208</v>
      </c>
      <c r="B62" s="122"/>
      <c r="C62" s="122"/>
      <c r="D62" s="122"/>
      <c r="E62" s="128">
        <f>+'Premissas Macro'!C15+'Premissas Macro'!C23</f>
        <v>0.10929999999999999</v>
      </c>
      <c r="F62" s="128">
        <f>+'Premissas Macro'!D15+'Premissas Macro'!D23</f>
        <v>0.1061</v>
      </c>
      <c r="G62" s="128">
        <f>+'Premissas Macro'!E15+'Premissas Macro'!E23</f>
        <v>0.1143</v>
      </c>
      <c r="H62" s="128">
        <f>+'Premissas Macro'!F15+'Premissas Macro'!F23</f>
        <v>0.11299999999999999</v>
      </c>
      <c r="I62" s="6">
        <f>+'Premissas Macro'!G15+'Premissas Macro'!G23</f>
        <v>0.1089</v>
      </c>
    </row>
    <row r="63" spans="1:9" outlineLevel="1" x14ac:dyDescent="0.35">
      <c r="A63" s="5"/>
      <c r="B63" s="122"/>
      <c r="C63" s="122"/>
      <c r="D63" s="122"/>
      <c r="E63" s="124"/>
      <c r="F63" s="124"/>
      <c r="G63" s="124"/>
      <c r="H63" s="124"/>
      <c r="I63" s="125"/>
    </row>
    <row r="64" spans="1:9" outlineLevel="1" x14ac:dyDescent="0.35">
      <c r="A64" s="5" t="s">
        <v>209</v>
      </c>
      <c r="B64" s="122"/>
      <c r="C64" s="122"/>
      <c r="D64" s="122"/>
      <c r="E64" s="124">
        <f>+D92*'Premissas Macro'!C15</f>
        <v>949799.36969279998</v>
      </c>
      <c r="F64" s="124">
        <f>+E92*'Premissas Macro'!D15</f>
        <v>842049.1063456001</v>
      </c>
      <c r="G64" s="124">
        <f>+F92*'Premissas Macro'!E15</f>
        <v>937527.90617279999</v>
      </c>
      <c r="H64" s="124">
        <f>+G92*'Premissas Macro'!F15</f>
        <v>862082.48668800003</v>
      </c>
      <c r="I64" s="125">
        <f>+H92*'Premissas Macro'!G15</f>
        <v>746493.08677439997</v>
      </c>
    </row>
    <row r="65" spans="1:9" outlineLevel="1" x14ac:dyDescent="0.35">
      <c r="A65" s="5" t="s">
        <v>210</v>
      </c>
      <c r="B65" s="122"/>
      <c r="C65" s="122"/>
      <c r="D65" s="122"/>
      <c r="E65" s="124">
        <f>+D33*(1+'Premissas Macro'!C5)</f>
        <v>796909.37940798001</v>
      </c>
      <c r="F65" s="124">
        <f>+E33*(1+'Premissas Macro'!D5)</f>
        <v>823685.53455608815</v>
      </c>
      <c r="G65" s="124">
        <f>+F33*(1+'Premissas Macro'!E5)</f>
        <v>850372.94587570545</v>
      </c>
      <c r="H65" s="124">
        <f>+G33*(1+'Premissas Macro'!F5)</f>
        <v>876649.46990326466</v>
      </c>
      <c r="I65" s="125">
        <f>+H33*(1+'Premissas Macro'!G5)</f>
        <v>894620.78403628152</v>
      </c>
    </row>
    <row r="66" spans="1:9" outlineLevel="1" x14ac:dyDescent="0.35">
      <c r="A66" s="5"/>
      <c r="B66" s="122"/>
      <c r="C66" s="122"/>
      <c r="D66" s="122"/>
      <c r="E66" s="124"/>
      <c r="F66" s="124"/>
      <c r="G66" s="124"/>
      <c r="H66" s="124"/>
      <c r="I66" s="125"/>
    </row>
    <row r="67" spans="1:9" outlineLevel="1" x14ac:dyDescent="0.35">
      <c r="A67" s="5" t="s">
        <v>211</v>
      </c>
      <c r="B67" s="122"/>
      <c r="C67" s="122"/>
      <c r="D67" s="122"/>
      <c r="E67" s="129">
        <v>0.08</v>
      </c>
      <c r="F67" s="129">
        <f>+E67</f>
        <v>0.08</v>
      </c>
      <c r="G67" s="129">
        <f t="shared" ref="G67:I67" si="28">+F67</f>
        <v>0.08</v>
      </c>
      <c r="H67" s="129">
        <f t="shared" si="28"/>
        <v>0.08</v>
      </c>
      <c r="I67" s="130">
        <f t="shared" si="28"/>
        <v>0.08</v>
      </c>
    </row>
    <row r="68" spans="1:9" outlineLevel="1" x14ac:dyDescent="0.35">
      <c r="A68" s="5" t="s">
        <v>212</v>
      </c>
      <c r="B68" s="122"/>
      <c r="C68" s="122"/>
      <c r="D68" s="122"/>
      <c r="E68" s="124">
        <f>+E67*E22</f>
        <v>3288515.6514323922</v>
      </c>
      <c r="F68" s="124">
        <f t="shared" ref="F68:I68" si="29">+F67*F22</f>
        <v>3399009.777320521</v>
      </c>
      <c r="G68" s="124">
        <f t="shared" si="29"/>
        <v>3509137.6941057057</v>
      </c>
      <c r="H68" s="124">
        <f t="shared" si="29"/>
        <v>3617570.0488535715</v>
      </c>
      <c r="I68" s="125">
        <f t="shared" si="29"/>
        <v>3691730.2348550698</v>
      </c>
    </row>
    <row r="69" spans="1:9" outlineLevel="1" x14ac:dyDescent="0.35">
      <c r="A69" s="5"/>
      <c r="B69" s="122"/>
      <c r="C69" s="122"/>
      <c r="D69" s="122"/>
      <c r="E69" s="124"/>
      <c r="F69" s="124"/>
      <c r="G69" s="124"/>
      <c r="H69" s="124"/>
      <c r="I69" s="125"/>
    </row>
    <row r="70" spans="1:9" outlineLevel="1" x14ac:dyDescent="0.35">
      <c r="A70" s="5" t="s">
        <v>213</v>
      </c>
      <c r="B70" s="122"/>
      <c r="C70" s="122"/>
      <c r="D70" s="122"/>
      <c r="E70" s="124">
        <f>+E72*10%</f>
        <v>395259.93059999991</v>
      </c>
      <c r="F70" s="124">
        <f>+F72*10%</f>
        <v>555733.93753999996</v>
      </c>
      <c r="G70" s="124">
        <f>+G72*10%</f>
        <v>700160.54378599999</v>
      </c>
      <c r="H70" s="124">
        <f>+H72*10%</f>
        <v>730144.4894073999</v>
      </c>
      <c r="I70" s="125">
        <f>+I72*10%</f>
        <v>657130.04046665994</v>
      </c>
    </row>
    <row r="71" spans="1:9" outlineLevel="1" x14ac:dyDescent="0.35">
      <c r="A71" s="5" t="s">
        <v>214</v>
      </c>
      <c r="B71" s="122"/>
      <c r="C71" s="122"/>
      <c r="D71" s="122"/>
      <c r="E71" s="129">
        <v>0.1</v>
      </c>
      <c r="F71" s="129">
        <f>+E71</f>
        <v>0.1</v>
      </c>
      <c r="G71" s="129">
        <f t="shared" ref="G71:I71" si="30">+F71</f>
        <v>0.1</v>
      </c>
      <c r="H71" s="129">
        <f t="shared" si="30"/>
        <v>0.1</v>
      </c>
      <c r="I71" s="130">
        <f t="shared" si="30"/>
        <v>0.1</v>
      </c>
    </row>
    <row r="72" spans="1:9" outlineLevel="1" x14ac:dyDescent="0.35">
      <c r="A72" s="5" t="s">
        <v>215</v>
      </c>
      <c r="B72" s="122"/>
      <c r="C72" s="122"/>
      <c r="D72" s="122"/>
      <c r="E72" s="124">
        <f>+D88</f>
        <v>3952599.3059999989</v>
      </c>
      <c r="F72" s="124">
        <f t="shared" ref="F72:I72" si="31">+E88</f>
        <v>5557339.3753999993</v>
      </c>
      <c r="G72" s="124">
        <f t="shared" si="31"/>
        <v>7001605.437859999</v>
      </c>
      <c r="H72" s="124">
        <f t="shared" si="31"/>
        <v>7301444.8940739986</v>
      </c>
      <c r="I72" s="125">
        <f t="shared" si="31"/>
        <v>6571300.4046665989</v>
      </c>
    </row>
    <row r="73" spans="1:9" outlineLevel="1" x14ac:dyDescent="0.35">
      <c r="A73" s="5"/>
      <c r="B73" s="122"/>
      <c r="C73" s="122"/>
      <c r="D73" s="122"/>
      <c r="E73" s="124"/>
      <c r="F73" s="124"/>
      <c r="G73" s="124"/>
      <c r="H73" s="124"/>
      <c r="I73" s="125"/>
    </row>
    <row r="74" spans="1:9" outlineLevel="1" x14ac:dyDescent="0.35">
      <c r="A74" s="5" t="s">
        <v>216</v>
      </c>
      <c r="B74" s="122"/>
      <c r="C74" s="122"/>
      <c r="D74" s="122"/>
      <c r="E74" s="124"/>
      <c r="F74" s="124"/>
      <c r="G74" s="124"/>
      <c r="H74" s="124"/>
      <c r="I74" s="125"/>
    </row>
    <row r="75" spans="1:9" outlineLevel="1" x14ac:dyDescent="0.35">
      <c r="A75" s="5" t="s">
        <v>214</v>
      </c>
      <c r="B75" s="122"/>
      <c r="C75" s="122"/>
      <c r="D75" s="122"/>
      <c r="E75" s="129">
        <v>0.2</v>
      </c>
      <c r="F75" s="129">
        <f>+E75</f>
        <v>0.2</v>
      </c>
      <c r="G75" s="129">
        <f t="shared" ref="G75:I75" si="32">+F75</f>
        <v>0.2</v>
      </c>
      <c r="H75" s="129">
        <f t="shared" si="32"/>
        <v>0.2</v>
      </c>
      <c r="I75" s="130">
        <f t="shared" si="32"/>
        <v>0.2</v>
      </c>
    </row>
    <row r="76" spans="1:9" outlineLevel="1" x14ac:dyDescent="0.35">
      <c r="A76" s="5" t="s">
        <v>215</v>
      </c>
      <c r="B76" s="122"/>
      <c r="C76" s="122"/>
      <c r="D76" s="122"/>
      <c r="E76" s="124">
        <f>+D95*E75</f>
        <v>1089202.4082000002</v>
      </c>
      <c r="F76" s="124">
        <f t="shared" ref="F76:I76" si="33">+E95*F75</f>
        <v>871361.92656000005</v>
      </c>
      <c r="G76" s="124">
        <f t="shared" si="33"/>
        <v>697089.54124799999</v>
      </c>
      <c r="H76" s="124">
        <f t="shared" si="33"/>
        <v>557671.63299840002</v>
      </c>
      <c r="I76" s="125">
        <f t="shared" si="33"/>
        <v>446137.30639872001</v>
      </c>
    </row>
    <row r="77" spans="1:9" outlineLevel="1" x14ac:dyDescent="0.35">
      <c r="A77" s="5"/>
      <c r="B77" s="122"/>
      <c r="C77" s="122"/>
      <c r="D77" s="122"/>
      <c r="E77" s="124"/>
      <c r="F77" s="124"/>
      <c r="G77" s="124"/>
      <c r="H77" s="124"/>
      <c r="I77" s="125"/>
    </row>
    <row r="78" spans="1:9" ht="15" outlineLevel="1" thickBot="1" x14ac:dyDescent="0.4">
      <c r="A78" s="131" t="s">
        <v>217</v>
      </c>
      <c r="B78" s="132"/>
      <c r="C78" s="132"/>
      <c r="D78" s="132"/>
      <c r="E78" s="133">
        <f>+E35*'Premissas Macro'!C16</f>
        <v>452051.25001926254</v>
      </c>
      <c r="F78" s="133">
        <f>+F35*'Premissas Macro'!D16</f>
        <v>464375.19420943479</v>
      </c>
      <c r="G78" s="133">
        <f>+G35*'Premissas Macro'!E16</f>
        <v>486423.34594595543</v>
      </c>
      <c r="H78" s="133">
        <f>+H35*'Premissas Macro'!F16</f>
        <v>602312.76495049102</v>
      </c>
      <c r="I78" s="134">
        <f>+I35*'Premissas Macro'!G16</f>
        <v>718977.26171771856</v>
      </c>
    </row>
    <row r="79" spans="1:9" x14ac:dyDescent="0.35">
      <c r="B79" s="19"/>
      <c r="C79" s="19"/>
      <c r="D79" s="19"/>
      <c r="E79" s="19"/>
      <c r="F79" s="19"/>
      <c r="G79" s="19"/>
      <c r="H79" s="19"/>
      <c r="I79" s="19"/>
    </row>
    <row r="80" spans="1:9" x14ac:dyDescent="0.35">
      <c r="B80" s="19"/>
      <c r="C80" s="19"/>
      <c r="D80" s="19"/>
      <c r="E80" s="19"/>
      <c r="F80" s="19"/>
      <c r="G80" s="19"/>
      <c r="H80" s="19"/>
      <c r="I80" s="19"/>
    </row>
    <row r="81" spans="1:9" x14ac:dyDescent="0.35">
      <c r="B81" s="19"/>
      <c r="C81" s="19"/>
      <c r="D81" s="19"/>
      <c r="E81" s="19"/>
      <c r="F81" s="19"/>
      <c r="G81" s="19"/>
      <c r="H81" s="19"/>
      <c r="I81" s="19"/>
    </row>
    <row r="82" spans="1:9" ht="15.5" x14ac:dyDescent="0.35">
      <c r="A82" t="s">
        <v>218</v>
      </c>
      <c r="B82" s="19"/>
      <c r="C82" s="19"/>
      <c r="D82" s="49">
        <f t="shared" ref="D82:I82" si="34">+D96-D115</f>
        <v>0</v>
      </c>
      <c r="E82" s="49">
        <f t="shared" si="34"/>
        <v>0</v>
      </c>
      <c r="F82" s="49">
        <f t="shared" si="34"/>
        <v>0</v>
      </c>
      <c r="G82" s="49">
        <f t="shared" si="34"/>
        <v>0</v>
      </c>
      <c r="H82" s="49">
        <f t="shared" si="34"/>
        <v>0</v>
      </c>
      <c r="I82" s="49">
        <f t="shared" si="34"/>
        <v>0</v>
      </c>
    </row>
    <row r="83" spans="1:9" x14ac:dyDescent="0.35">
      <c r="A83" s="3" t="s">
        <v>219</v>
      </c>
      <c r="B83" s="19"/>
      <c r="C83" s="19"/>
      <c r="D83" s="19"/>
      <c r="E83" s="19"/>
      <c r="F83" s="19"/>
      <c r="G83" s="19"/>
      <c r="H83" s="19"/>
      <c r="I83" s="19"/>
    </row>
    <row r="85" spans="1:9" x14ac:dyDescent="0.35">
      <c r="A85" t="s">
        <v>220</v>
      </c>
      <c r="B85" s="20">
        <v>566440.53873999801</v>
      </c>
      <c r="C85" s="20">
        <v>385476.06043999601</v>
      </c>
      <c r="D85" s="101">
        <v>4069771.63</v>
      </c>
      <c r="E85" s="20">
        <f>+E172</f>
        <v>500000</v>
      </c>
      <c r="F85" s="20">
        <f t="shared" ref="F85:I85" si="35">+F172</f>
        <v>500000</v>
      </c>
      <c r="G85" s="20">
        <f t="shared" si="35"/>
        <v>742581.53545479709</v>
      </c>
      <c r="H85" s="20">
        <f t="shared" si="35"/>
        <v>2113209.952274818</v>
      </c>
      <c r="I85" s="20">
        <f t="shared" si="35"/>
        <v>3580424.2039380064</v>
      </c>
    </row>
    <row r="86" spans="1:9" x14ac:dyDescent="0.35">
      <c r="A86" t="s">
        <v>221</v>
      </c>
      <c r="B86" s="20">
        <v>532814</v>
      </c>
      <c r="C86" s="20">
        <v>997042.33400000003</v>
      </c>
      <c r="D86" s="101">
        <v>524998.13399999996</v>
      </c>
      <c r="E86" s="20">
        <f>+E121</f>
        <v>6851074.2738174833</v>
      </c>
      <c r="F86" s="20">
        <f t="shared" ref="F86:I86" si="36">+F121</f>
        <v>7081270.3694177521</v>
      </c>
      <c r="G86" s="20">
        <f t="shared" si="36"/>
        <v>7310703.5293868873</v>
      </c>
      <c r="H86" s="20">
        <f t="shared" si="36"/>
        <v>7536604.2684449404</v>
      </c>
      <c r="I86" s="20">
        <f t="shared" si="36"/>
        <v>7691104.6559480615</v>
      </c>
    </row>
    <row r="87" spans="1:9" x14ac:dyDescent="0.35">
      <c r="A87" t="s">
        <v>222</v>
      </c>
      <c r="B87" s="20">
        <v>319325</v>
      </c>
      <c r="C87" s="20">
        <v>341846.60499999998</v>
      </c>
      <c r="D87" s="101">
        <v>275464.49800000002</v>
      </c>
      <c r="E87" s="20">
        <f>+E124</f>
        <v>327733.25375378598</v>
      </c>
      <c r="F87" s="20">
        <f t="shared" ref="F87:I87" si="37">+F124</f>
        <v>338745.0910799132</v>
      </c>
      <c r="G87" s="20">
        <f t="shared" si="37"/>
        <v>349720.43203090236</v>
      </c>
      <c r="H87" s="20">
        <f t="shared" si="37"/>
        <v>360526.79338065721</v>
      </c>
      <c r="I87" s="20">
        <f t="shared" si="37"/>
        <v>367917.59264496068</v>
      </c>
    </row>
    <row r="88" spans="1:9" x14ac:dyDescent="0.35">
      <c r="A88" t="s">
        <v>223</v>
      </c>
      <c r="B88" s="20">
        <v>941797</v>
      </c>
      <c r="C88" s="20">
        <v>431957.93499999959</v>
      </c>
      <c r="D88" s="108">
        <v>3952599.3059999989</v>
      </c>
      <c r="E88" s="20">
        <f>+E89+E90</f>
        <v>5557339.3753999993</v>
      </c>
      <c r="F88" s="20">
        <f>+F89+F90</f>
        <v>7001605.437859999</v>
      </c>
      <c r="G88" s="20">
        <f>+G89+G90</f>
        <v>7301444.8940739986</v>
      </c>
      <c r="H88" s="20">
        <f>+H89+H90</f>
        <v>6571300.4046665989</v>
      </c>
      <c r="I88" s="20">
        <f>+I89+I90</f>
        <v>5914170.3641999392</v>
      </c>
    </row>
    <row r="89" spans="1:9" x14ac:dyDescent="0.35">
      <c r="A89" s="21" t="s">
        <v>224</v>
      </c>
      <c r="B89" s="109">
        <v>5001849</v>
      </c>
      <c r="C89" s="109">
        <v>5100506.84</v>
      </c>
      <c r="D89" s="110">
        <v>8975926.8099999987</v>
      </c>
      <c r="E89" s="109">
        <f>+E127</f>
        <v>10975926.809999999</v>
      </c>
      <c r="F89" s="109">
        <f t="shared" ref="F89:I89" si="38">+F127</f>
        <v>12975926.809999999</v>
      </c>
      <c r="G89" s="109">
        <f t="shared" si="38"/>
        <v>13975926.809999999</v>
      </c>
      <c r="H89" s="109">
        <f t="shared" si="38"/>
        <v>13975926.809999999</v>
      </c>
      <c r="I89" s="109">
        <f t="shared" si="38"/>
        <v>13975926.809999999</v>
      </c>
    </row>
    <row r="90" spans="1:9" x14ac:dyDescent="0.35">
      <c r="A90" s="22" t="s">
        <v>225</v>
      </c>
      <c r="B90" s="111">
        <v>-4060052</v>
      </c>
      <c r="C90" s="111">
        <v>-4668548.9050000003</v>
      </c>
      <c r="D90" s="112">
        <v>-5023327.5039999997</v>
      </c>
      <c r="E90" s="111">
        <f>+D90-E42</f>
        <v>-5418587.4345999993</v>
      </c>
      <c r="F90" s="111">
        <f>+E90-F42</f>
        <v>-5974321.3721399996</v>
      </c>
      <c r="G90" s="111">
        <f>+F90-G42</f>
        <v>-6674481.9159260001</v>
      </c>
      <c r="H90" s="111">
        <f>+G90-H42</f>
        <v>-7404626.4053333998</v>
      </c>
      <c r="I90" s="111">
        <f>+H90-I42</f>
        <v>-8061756.4458000595</v>
      </c>
    </row>
    <row r="91" spans="1:9" x14ac:dyDescent="0.35">
      <c r="A91" t="s">
        <v>226</v>
      </c>
      <c r="B91" s="20">
        <v>25632</v>
      </c>
      <c r="C91" s="20">
        <v>18052.39</v>
      </c>
      <c r="D91" s="101">
        <v>15830.486000000001</v>
      </c>
      <c r="E91" s="20">
        <f>+D91</f>
        <v>15830.486000000001</v>
      </c>
      <c r="F91" s="20">
        <f t="shared" ref="F91:I91" si="39">+E91</f>
        <v>15830.486000000001</v>
      </c>
      <c r="G91" s="20">
        <f t="shared" si="39"/>
        <v>15830.486000000001</v>
      </c>
      <c r="H91" s="20">
        <f t="shared" si="39"/>
        <v>15830.486000000001</v>
      </c>
      <c r="I91" s="20">
        <f t="shared" si="39"/>
        <v>15830.486000000001</v>
      </c>
    </row>
    <row r="92" spans="1:9" x14ac:dyDescent="0.35">
      <c r="A92" t="s">
        <v>227</v>
      </c>
      <c r="B92" s="20">
        <v>4748804</v>
      </c>
      <c r="C92" s="20">
        <v>19193105.096000001</v>
      </c>
      <c r="D92" s="101">
        <v>19265707.296</v>
      </c>
      <c r="E92" s="20">
        <f>+E130</f>
        <v>18265707.296</v>
      </c>
      <c r="F92" s="20">
        <f t="shared" ref="F92:I92" si="40">+F130</f>
        <v>17265707.296</v>
      </c>
      <c r="G92" s="20">
        <f t="shared" si="40"/>
        <v>16265707.296</v>
      </c>
      <c r="H92" s="20">
        <f t="shared" si="40"/>
        <v>15265707.296</v>
      </c>
      <c r="I92" s="20">
        <f t="shared" si="40"/>
        <v>14265707.296</v>
      </c>
    </row>
    <row r="93" spans="1:9" x14ac:dyDescent="0.35">
      <c r="A93" t="s">
        <v>228</v>
      </c>
      <c r="B93" s="20">
        <v>13348185</v>
      </c>
      <c r="C93" s="20">
        <v>25997368.875</v>
      </c>
      <c r="D93" s="101">
        <v>36362260.508999996</v>
      </c>
      <c r="E93" s="20">
        <f t="shared" ref="E93:I93" si="41">+D93</f>
        <v>36362260.508999996</v>
      </c>
      <c r="F93" s="20">
        <f t="shared" si="41"/>
        <v>36362260.508999996</v>
      </c>
      <c r="G93" s="20">
        <f t="shared" si="41"/>
        <v>36362260.508999996</v>
      </c>
      <c r="H93" s="20">
        <f t="shared" si="41"/>
        <v>36362260.508999996</v>
      </c>
      <c r="I93" s="20">
        <f t="shared" si="41"/>
        <v>36362260.508999996</v>
      </c>
    </row>
    <row r="94" spans="1:9" x14ac:dyDescent="0.35">
      <c r="A94" t="s">
        <v>229</v>
      </c>
      <c r="B94" s="23">
        <v>620611</v>
      </c>
      <c r="C94" s="23">
        <v>2814261.0010000002</v>
      </c>
      <c r="D94" s="102">
        <v>1592828.5649999999</v>
      </c>
      <c r="E94" s="20">
        <f t="shared" ref="E94:I94" si="42">+D94</f>
        <v>1592828.5649999999</v>
      </c>
      <c r="F94" s="20">
        <f t="shared" si="42"/>
        <v>1592828.5649999999</v>
      </c>
      <c r="G94" s="20">
        <f t="shared" si="42"/>
        <v>1592828.5649999999</v>
      </c>
      <c r="H94" s="20">
        <f t="shared" si="42"/>
        <v>1592828.5649999999</v>
      </c>
      <c r="I94" s="20">
        <f t="shared" si="42"/>
        <v>1592828.5649999999</v>
      </c>
    </row>
    <row r="95" spans="1:9" x14ac:dyDescent="0.35">
      <c r="A95" t="s">
        <v>230</v>
      </c>
      <c r="B95" s="20">
        <v>0</v>
      </c>
      <c r="C95" s="20">
        <v>0</v>
      </c>
      <c r="D95" s="101">
        <v>5446012.0410000002</v>
      </c>
      <c r="E95" s="20">
        <f>+D95-E43</f>
        <v>4356809.6327999998</v>
      </c>
      <c r="F95" s="20">
        <f>+E95-F43</f>
        <v>3485447.7062399997</v>
      </c>
      <c r="G95" s="20">
        <f>+F95-G43</f>
        <v>2788358.164992</v>
      </c>
      <c r="H95" s="20">
        <f>+G95-H43</f>
        <v>2230686.5319936001</v>
      </c>
      <c r="I95" s="20">
        <f>+H95-I43</f>
        <v>1784549.2255948801</v>
      </c>
    </row>
    <row r="96" spans="1:9" x14ac:dyDescent="0.35">
      <c r="A96" s="3" t="s">
        <v>231</v>
      </c>
      <c r="B96" s="24">
        <v>21103608.538739998</v>
      </c>
      <c r="C96" s="24">
        <v>50179110.296439998</v>
      </c>
      <c r="D96" s="24">
        <v>71505472.464999989</v>
      </c>
      <c r="E96" s="24">
        <f>+SUM(E85:E88)+SUM(E91:E95)</f>
        <v>73829583.391771257</v>
      </c>
      <c r="F96" s="24">
        <f t="shared" ref="F96:I96" si="43">+SUM(F85:F88)+SUM(F91:F95)</f>
        <v>73643695.460597649</v>
      </c>
      <c r="G96" s="24">
        <f t="shared" si="43"/>
        <v>72729435.411938578</v>
      </c>
      <c r="H96" s="24">
        <f t="shared" si="43"/>
        <v>72048954.806760609</v>
      </c>
      <c r="I96" s="24">
        <f t="shared" si="43"/>
        <v>71574792.898325831</v>
      </c>
    </row>
    <row r="97" spans="1:9" x14ac:dyDescent="0.35">
      <c r="B97" s="20"/>
      <c r="C97" s="25"/>
      <c r="D97" s="25"/>
      <c r="E97" s="25"/>
      <c r="F97" s="25"/>
      <c r="G97" s="25"/>
      <c r="H97" s="25"/>
      <c r="I97" s="25"/>
    </row>
    <row r="98" spans="1:9" x14ac:dyDescent="0.35">
      <c r="A98" t="s">
        <v>232</v>
      </c>
      <c r="B98" s="20"/>
      <c r="C98" s="25"/>
      <c r="D98" s="25"/>
      <c r="E98" s="25"/>
      <c r="F98" s="25"/>
      <c r="G98" s="25"/>
      <c r="H98" s="25"/>
      <c r="I98" s="25"/>
    </row>
    <row r="99" spans="1:9" x14ac:dyDescent="0.35">
      <c r="A99" t="s">
        <v>233</v>
      </c>
      <c r="B99" s="20">
        <v>9630096</v>
      </c>
      <c r="C99" s="20">
        <v>31802578.397</v>
      </c>
      <c r="D99" s="101">
        <v>38085248.468999997</v>
      </c>
      <c r="E99" s="20">
        <f>+E137</f>
        <v>39317655.039878339</v>
      </c>
      <c r="F99" s="20">
        <f t="shared" ref="F99:I99" si="44">+F137</f>
        <v>38090465.197289906</v>
      </c>
      <c r="G99" s="20">
        <f t="shared" si="44"/>
        <v>36090465.197289906</v>
      </c>
      <c r="H99" s="20">
        <f t="shared" si="44"/>
        <v>34090465.197289906</v>
      </c>
      <c r="I99" s="20">
        <f t="shared" si="44"/>
        <v>32090465.197289906</v>
      </c>
    </row>
    <row r="100" spans="1:9" x14ac:dyDescent="0.35">
      <c r="A100" t="s">
        <v>234</v>
      </c>
      <c r="B100" s="20">
        <v>1886737</v>
      </c>
      <c r="C100" s="20">
        <v>3685995.2749999999</v>
      </c>
      <c r="D100" s="101">
        <v>2757035.5780000002</v>
      </c>
      <c r="E100" s="20">
        <f>+E133</f>
        <v>2930938.911126548</v>
      </c>
      <c r="F100" s="20">
        <f t="shared" ref="F100:I100" si="45">+F133</f>
        <v>3029418.4585404005</v>
      </c>
      <c r="G100" s="20">
        <f t="shared" si="45"/>
        <v>3127571.6165971095</v>
      </c>
      <c r="H100" s="20">
        <f t="shared" si="45"/>
        <v>3224213.5795499599</v>
      </c>
      <c r="I100" s="20">
        <f t="shared" si="45"/>
        <v>3290309.9579307339</v>
      </c>
    </row>
    <row r="101" spans="1:9" x14ac:dyDescent="0.35">
      <c r="A101" t="s">
        <v>235</v>
      </c>
      <c r="B101" s="20">
        <v>869414</v>
      </c>
      <c r="C101" s="20">
        <v>3304342.1269999999</v>
      </c>
      <c r="D101" s="101">
        <v>896621.66500000004</v>
      </c>
      <c r="E101" s="20">
        <f t="shared" ref="E101:I101" si="46">+D101</f>
        <v>896621.66500000004</v>
      </c>
      <c r="F101" s="20">
        <f t="shared" si="46"/>
        <v>896621.66500000004</v>
      </c>
      <c r="G101" s="20">
        <f t="shared" si="46"/>
        <v>896621.66500000004</v>
      </c>
      <c r="H101" s="20">
        <f t="shared" si="46"/>
        <v>896621.66500000004</v>
      </c>
      <c r="I101" s="20">
        <f t="shared" si="46"/>
        <v>896621.66500000004</v>
      </c>
    </row>
    <row r="102" spans="1:9" x14ac:dyDescent="0.35">
      <c r="A102" t="s">
        <v>236</v>
      </c>
      <c r="B102" s="20">
        <v>214816</v>
      </c>
      <c r="C102" s="20">
        <v>254921.27499999999</v>
      </c>
      <c r="D102" s="101">
        <v>285879.89600000001</v>
      </c>
      <c r="E102" s="20">
        <f t="shared" ref="E102:I102" si="47">+D102</f>
        <v>285879.89600000001</v>
      </c>
      <c r="F102" s="20">
        <f t="shared" si="47"/>
        <v>285879.89600000001</v>
      </c>
      <c r="G102" s="20">
        <f t="shared" si="47"/>
        <v>285879.89600000001</v>
      </c>
      <c r="H102" s="20">
        <f t="shared" si="47"/>
        <v>285879.89600000001</v>
      </c>
      <c r="I102" s="20">
        <f t="shared" si="47"/>
        <v>285879.89600000001</v>
      </c>
    </row>
    <row r="103" spans="1:9" x14ac:dyDescent="0.35">
      <c r="A103" t="s">
        <v>237</v>
      </c>
      <c r="B103" s="20">
        <v>1636224</v>
      </c>
      <c r="C103" s="20">
        <v>1117285.8700000001</v>
      </c>
      <c r="D103" s="101">
        <v>1290834.703</v>
      </c>
      <c r="E103" s="20">
        <f t="shared" ref="E103:I103" si="48">+D103</f>
        <v>1290834.703</v>
      </c>
      <c r="F103" s="20">
        <f t="shared" si="48"/>
        <v>1290834.703</v>
      </c>
      <c r="G103" s="20">
        <f t="shared" si="48"/>
        <v>1290834.703</v>
      </c>
      <c r="H103" s="20">
        <f t="shared" si="48"/>
        <v>1290834.703</v>
      </c>
      <c r="I103" s="20">
        <f t="shared" si="48"/>
        <v>1290834.703</v>
      </c>
    </row>
    <row r="104" spans="1:9" x14ac:dyDescent="0.35">
      <c r="A104" t="s">
        <v>238</v>
      </c>
      <c r="B104" s="20">
        <f>525824+1657</f>
        <v>527481</v>
      </c>
      <c r="C104" s="20">
        <f>939680.575+15017.057+978032.99</f>
        <v>1932730.622</v>
      </c>
      <c r="D104" s="101">
        <f>1537926.574+6012872.687+1799102.257+2474.709</f>
        <v>9352376.227</v>
      </c>
      <c r="E104" s="20">
        <f t="shared" ref="E104:I104" si="49">+D104</f>
        <v>9352376.227</v>
      </c>
      <c r="F104" s="20">
        <f t="shared" si="49"/>
        <v>9352376.227</v>
      </c>
      <c r="G104" s="20">
        <f t="shared" si="49"/>
        <v>9352376.227</v>
      </c>
      <c r="H104" s="20">
        <f t="shared" si="49"/>
        <v>9352376.227</v>
      </c>
      <c r="I104" s="20">
        <f t="shared" si="49"/>
        <v>9352376.227</v>
      </c>
    </row>
    <row r="105" spans="1:9" x14ac:dyDescent="0.35">
      <c r="A105" s="3" t="s">
        <v>239</v>
      </c>
      <c r="B105" s="26">
        <v>14764768</v>
      </c>
      <c r="C105" s="26">
        <v>42097853.565999992</v>
      </c>
      <c r="D105" s="26">
        <v>52667996.537999995</v>
      </c>
      <c r="E105" s="26">
        <f>+SUM(E99:E104)</f>
        <v>54074306.442004882</v>
      </c>
      <c r="F105" s="26">
        <f>+SUM(F99:F104)</f>
        <v>52945596.146830305</v>
      </c>
      <c r="G105" s="26">
        <f>+SUM(G99:G104)</f>
        <v>51043749.304887012</v>
      </c>
      <c r="H105" s="26">
        <f>+SUM(H99:H104)</f>
        <v>49140391.267839864</v>
      </c>
      <c r="I105" s="26">
        <f>+SUM(I99:I104)</f>
        <v>47206487.646220639</v>
      </c>
    </row>
    <row r="106" spans="1:9" x14ac:dyDescent="0.35">
      <c r="A106" t="s">
        <v>240</v>
      </c>
      <c r="B106" s="20">
        <v>2546863</v>
      </c>
      <c r="C106" s="20">
        <v>4000000</v>
      </c>
      <c r="D106" s="101">
        <v>5000000</v>
      </c>
      <c r="E106" s="20">
        <f>+D106</f>
        <v>5000000</v>
      </c>
      <c r="F106" s="20">
        <f t="shared" ref="F106:I106" si="50">+E106</f>
        <v>5000000</v>
      </c>
      <c r="G106" s="20">
        <f t="shared" si="50"/>
        <v>5000000</v>
      </c>
      <c r="H106" s="20">
        <f t="shared" si="50"/>
        <v>5000000</v>
      </c>
      <c r="I106" s="20">
        <f t="shared" si="50"/>
        <v>5000000</v>
      </c>
    </row>
    <row r="107" spans="1:9" x14ac:dyDescent="0.35">
      <c r="A107" t="s">
        <v>241</v>
      </c>
      <c r="B107" s="20">
        <v>0</v>
      </c>
      <c r="C107" s="20">
        <v>0</v>
      </c>
      <c r="D107" s="101">
        <v>4000000</v>
      </c>
      <c r="E107" s="20">
        <f t="shared" ref="E107:I107" si="51">+D107</f>
        <v>4000000</v>
      </c>
      <c r="F107" s="20">
        <f t="shared" si="51"/>
        <v>4000000</v>
      </c>
      <c r="G107" s="20">
        <f t="shared" si="51"/>
        <v>4000000</v>
      </c>
      <c r="H107" s="20">
        <f t="shared" si="51"/>
        <v>4000000</v>
      </c>
      <c r="I107" s="20">
        <f t="shared" si="51"/>
        <v>4000000</v>
      </c>
    </row>
    <row r="108" spans="1:9" x14ac:dyDescent="0.35">
      <c r="A108" t="s">
        <v>242</v>
      </c>
      <c r="B108" s="20">
        <v>276081</v>
      </c>
      <c r="C108" s="20">
        <v>325276.67599999998</v>
      </c>
      <c r="D108" s="101">
        <v>354204.60600000003</v>
      </c>
      <c r="E108" s="20">
        <f t="shared" ref="E108:I108" si="52">+D108</f>
        <v>354204.60600000003</v>
      </c>
      <c r="F108" s="20">
        <f t="shared" si="52"/>
        <v>354204.60600000003</v>
      </c>
      <c r="G108" s="20">
        <f t="shared" si="52"/>
        <v>354204.60600000003</v>
      </c>
      <c r="H108" s="20">
        <f t="shared" si="52"/>
        <v>354204.60600000003</v>
      </c>
      <c r="I108" s="20">
        <f t="shared" si="52"/>
        <v>354204.60600000003</v>
      </c>
    </row>
    <row r="109" spans="1:9" x14ac:dyDescent="0.35">
      <c r="A109" t="s">
        <v>243</v>
      </c>
      <c r="B109" s="20">
        <v>1064797</v>
      </c>
      <c r="C109" s="20">
        <v>1064797.149</v>
      </c>
      <c r="D109" s="101">
        <v>1064797.149</v>
      </c>
      <c r="E109" s="20">
        <f t="shared" ref="E109:I109" si="53">+D109</f>
        <v>1064797.149</v>
      </c>
      <c r="F109" s="20">
        <f t="shared" si="53"/>
        <v>1064797.149</v>
      </c>
      <c r="G109" s="20">
        <f t="shared" si="53"/>
        <v>1064797.149</v>
      </c>
      <c r="H109" s="20">
        <f t="shared" si="53"/>
        <v>1064797.149</v>
      </c>
      <c r="I109" s="20">
        <f t="shared" si="53"/>
        <v>1064797.149</v>
      </c>
    </row>
    <row r="110" spans="1:9" x14ac:dyDescent="0.35">
      <c r="A110" t="s">
        <v>244</v>
      </c>
      <c r="B110" s="20">
        <v>0</v>
      </c>
      <c r="C110" s="20">
        <v>0</v>
      </c>
      <c r="D110" s="101">
        <v>0</v>
      </c>
      <c r="E110" s="20">
        <f t="shared" ref="E110:I110" si="54">+D110</f>
        <v>0</v>
      </c>
      <c r="F110" s="20">
        <f t="shared" si="54"/>
        <v>0</v>
      </c>
      <c r="G110" s="20">
        <f t="shared" si="54"/>
        <v>0</v>
      </c>
      <c r="H110" s="20">
        <f t="shared" si="54"/>
        <v>0</v>
      </c>
      <c r="I110" s="20">
        <f t="shared" si="54"/>
        <v>0</v>
      </c>
    </row>
    <row r="111" spans="1:9" x14ac:dyDescent="0.35">
      <c r="A111" t="s">
        <v>245</v>
      </c>
      <c r="B111" s="20">
        <v>491958.53873999696</v>
      </c>
      <c r="C111" s="20">
        <v>289279.295440007</v>
      </c>
      <c r="D111" s="101">
        <v>310207.15600000136</v>
      </c>
      <c r="E111" s="20">
        <f>+E37</f>
        <v>917801.0227663815</v>
      </c>
      <c r="F111" s="20">
        <f>+F37</f>
        <v>942822.36400097352</v>
      </c>
      <c r="G111" s="20">
        <f>+G37</f>
        <v>987586.79328421247</v>
      </c>
      <c r="H111" s="20">
        <f>+H37</f>
        <v>1222877.4318691785</v>
      </c>
      <c r="I111" s="20">
        <f>+I37</f>
        <v>1459741.7131844587</v>
      </c>
    </row>
    <row r="112" spans="1:9" x14ac:dyDescent="0.35">
      <c r="A112" t="s">
        <v>246</v>
      </c>
      <c r="B112" s="20">
        <v>1959141</v>
      </c>
      <c r="C112" s="20">
        <v>2401903.61</v>
      </c>
      <c r="D112" s="101">
        <v>2662254.9750000001</v>
      </c>
      <c r="E112" s="20">
        <f>+D111+D112</f>
        <v>2972462.1310000014</v>
      </c>
      <c r="F112" s="20">
        <f t="shared" ref="F112:I112" si="55">+E111+E112</f>
        <v>3890263.153766383</v>
      </c>
      <c r="G112" s="20">
        <f t="shared" si="55"/>
        <v>4833085.5177673567</v>
      </c>
      <c r="H112" s="20">
        <f t="shared" si="55"/>
        <v>5820672.3110515689</v>
      </c>
      <c r="I112" s="20">
        <f t="shared" si="55"/>
        <v>7043549.742920747</v>
      </c>
    </row>
    <row r="113" spans="1:9" x14ac:dyDescent="0.35">
      <c r="A113" t="s">
        <v>247</v>
      </c>
      <c r="B113" s="20">
        <v>0</v>
      </c>
      <c r="C113" s="20">
        <v>0</v>
      </c>
      <c r="D113" s="101">
        <v>5446012.0410000002</v>
      </c>
      <c r="E113" s="20">
        <f t="shared" ref="E113:I113" si="56">+D113</f>
        <v>5446012.0410000002</v>
      </c>
      <c r="F113" s="20">
        <f t="shared" si="56"/>
        <v>5446012.0410000002</v>
      </c>
      <c r="G113" s="20">
        <f t="shared" si="56"/>
        <v>5446012.0410000002</v>
      </c>
      <c r="H113" s="20">
        <f t="shared" si="56"/>
        <v>5446012.0410000002</v>
      </c>
      <c r="I113" s="20">
        <f t="shared" si="56"/>
        <v>5446012.0410000002</v>
      </c>
    </row>
    <row r="114" spans="1:9" x14ac:dyDescent="0.35">
      <c r="A114" s="3" t="s">
        <v>248</v>
      </c>
      <c r="B114" s="26">
        <v>6338840.538739997</v>
      </c>
      <c r="C114" s="26">
        <v>8081256.7304400075</v>
      </c>
      <c r="D114" s="26">
        <v>18837475.927000001</v>
      </c>
      <c r="E114" s="26">
        <f>+SUM(E106:E113)</f>
        <v>19755276.949766383</v>
      </c>
      <c r="F114" s="26">
        <f t="shared" ref="F114:I114" si="57">+SUM(F106:F113)</f>
        <v>20698099.313767359</v>
      </c>
      <c r="G114" s="26">
        <f t="shared" si="57"/>
        <v>21685686.10705157</v>
      </c>
      <c r="H114" s="26">
        <f t="shared" si="57"/>
        <v>22908563.538920749</v>
      </c>
      <c r="I114" s="26">
        <f t="shared" si="57"/>
        <v>24368305.252105206</v>
      </c>
    </row>
    <row r="115" spans="1:9" x14ac:dyDescent="0.35">
      <c r="A115" s="3" t="s">
        <v>249</v>
      </c>
      <c r="B115" s="24">
        <v>21103608.538739998</v>
      </c>
      <c r="C115" s="24">
        <v>50179110.296439998</v>
      </c>
      <c r="D115" s="24">
        <v>71505472.465000004</v>
      </c>
      <c r="E115" s="24">
        <f>+E105+E114</f>
        <v>73829583.391771257</v>
      </c>
      <c r="F115" s="24">
        <f t="shared" ref="F115:I115" si="58">+F105+F114</f>
        <v>73643695.460597664</v>
      </c>
      <c r="G115" s="24">
        <f t="shared" si="58"/>
        <v>72729435.411938578</v>
      </c>
      <c r="H115" s="24">
        <f t="shared" si="58"/>
        <v>72048954.806760609</v>
      </c>
      <c r="I115" s="24">
        <f t="shared" si="58"/>
        <v>71574792.898325846</v>
      </c>
    </row>
    <row r="116" spans="1:9" ht="15.5" x14ac:dyDescent="0.35">
      <c r="A116" t="s">
        <v>218</v>
      </c>
      <c r="D116" s="49">
        <f t="shared" ref="D116:I116" si="59">+D115-D96</f>
        <v>0</v>
      </c>
      <c r="E116" s="49">
        <f t="shared" si="59"/>
        <v>0</v>
      </c>
      <c r="F116" s="49">
        <f t="shared" si="59"/>
        <v>0</v>
      </c>
      <c r="G116" s="49">
        <f t="shared" si="59"/>
        <v>0</v>
      </c>
      <c r="H116" s="49">
        <f t="shared" si="59"/>
        <v>0</v>
      </c>
      <c r="I116" s="49">
        <f t="shared" si="59"/>
        <v>0</v>
      </c>
    </row>
    <row r="117" spans="1:9" ht="15" thickBot="1" x14ac:dyDescent="0.4"/>
    <row r="118" spans="1:9" x14ac:dyDescent="0.35">
      <c r="A118" s="119" t="s">
        <v>250</v>
      </c>
      <c r="B118" s="120"/>
      <c r="C118" s="120"/>
      <c r="D118" s="120"/>
      <c r="E118" s="120"/>
      <c r="F118" s="120"/>
      <c r="G118" s="120"/>
      <c r="H118" s="120"/>
      <c r="I118" s="121"/>
    </row>
    <row r="119" spans="1:9" outlineLevel="1" x14ac:dyDescent="0.35">
      <c r="A119" s="5"/>
      <c r="B119" s="122"/>
      <c r="C119" s="122"/>
      <c r="D119" s="122"/>
      <c r="E119" s="122"/>
      <c r="F119" s="122"/>
      <c r="G119" s="122"/>
      <c r="H119" s="122"/>
      <c r="I119" s="123"/>
    </row>
    <row r="120" spans="1:9" outlineLevel="1" x14ac:dyDescent="0.35">
      <c r="A120" s="5" t="s">
        <v>251</v>
      </c>
      <c r="B120" s="135">
        <f>+B86/B22*360</f>
        <v>4.996328402719791</v>
      </c>
      <c r="C120" s="135">
        <f>+C86/C22*360</f>
        <v>9.1626657660020978</v>
      </c>
      <c r="D120" s="135">
        <f>+D86/D22*360</f>
        <v>4.7430933023526141</v>
      </c>
      <c r="E120" s="136">
        <v>60</v>
      </c>
      <c r="F120" s="136">
        <f>+E120</f>
        <v>60</v>
      </c>
      <c r="G120" s="136">
        <f t="shared" ref="G120:I120" si="60">+F120</f>
        <v>60</v>
      </c>
      <c r="H120" s="136">
        <f t="shared" si="60"/>
        <v>60</v>
      </c>
      <c r="I120" s="137">
        <f t="shared" si="60"/>
        <v>60</v>
      </c>
    </row>
    <row r="121" spans="1:9" outlineLevel="1" x14ac:dyDescent="0.35">
      <c r="A121" s="5" t="s">
        <v>252</v>
      </c>
      <c r="B121" s="135"/>
      <c r="C121" s="135"/>
      <c r="D121" s="135"/>
      <c r="E121" s="124">
        <f>+(E22*E120/360)</f>
        <v>6851074.2738174833</v>
      </c>
      <c r="F121" s="124">
        <f>+(F22*F120/360)</f>
        <v>7081270.3694177521</v>
      </c>
      <c r="G121" s="124">
        <f>+(G22*G120/360)</f>
        <v>7310703.5293868873</v>
      </c>
      <c r="H121" s="124">
        <f>+(H22*H120/360)</f>
        <v>7536604.2684449404</v>
      </c>
      <c r="I121" s="125">
        <f>+(I22*I120/360)</f>
        <v>7691104.6559480615</v>
      </c>
    </row>
    <row r="122" spans="1:9" outlineLevel="1" x14ac:dyDescent="0.35">
      <c r="A122" s="5"/>
      <c r="B122" s="135"/>
      <c r="C122" s="135"/>
      <c r="D122" s="135"/>
      <c r="E122" s="124"/>
      <c r="F122" s="124"/>
      <c r="G122" s="124"/>
      <c r="H122" s="124"/>
      <c r="I122" s="125"/>
    </row>
    <row r="123" spans="1:9" outlineLevel="1" x14ac:dyDescent="0.35">
      <c r="A123" s="5" t="s">
        <v>253</v>
      </c>
      <c r="B123" s="135">
        <f>+B87/B23*360</f>
        <v>4.0235020121428109</v>
      </c>
      <c r="C123" s="135">
        <f>+C87/C23*360</f>
        <v>4.3831507046352227</v>
      </c>
      <c r="D123" s="135">
        <f>+D87/D23*360</f>
        <v>3.8912040933633252</v>
      </c>
      <c r="E123" s="136">
        <f>+AVERAGE(B123:D123)</f>
        <v>4.0992856033804523</v>
      </c>
      <c r="F123" s="136">
        <f>+E123</f>
        <v>4.0992856033804523</v>
      </c>
      <c r="G123" s="136">
        <f t="shared" ref="G123:I123" si="61">+F123</f>
        <v>4.0992856033804523</v>
      </c>
      <c r="H123" s="136">
        <f t="shared" si="61"/>
        <v>4.0992856033804523</v>
      </c>
      <c r="I123" s="137">
        <f t="shared" si="61"/>
        <v>4.0992856033804523</v>
      </c>
    </row>
    <row r="124" spans="1:9" outlineLevel="1" x14ac:dyDescent="0.35">
      <c r="A124" s="5" t="s">
        <v>254</v>
      </c>
      <c r="B124" s="135"/>
      <c r="C124" s="135"/>
      <c r="D124" s="135"/>
      <c r="E124" s="124">
        <f>+E123*E23/360</f>
        <v>327733.25375378598</v>
      </c>
      <c r="F124" s="124">
        <f>+F123*F23/360</f>
        <v>338745.0910799132</v>
      </c>
      <c r="G124" s="124">
        <f>+G123*G23/360</f>
        <v>349720.43203090236</v>
      </c>
      <c r="H124" s="124">
        <f>+H123*H23/360</f>
        <v>360526.79338065721</v>
      </c>
      <c r="I124" s="125">
        <f>+I123*I23/360</f>
        <v>367917.59264496068</v>
      </c>
    </row>
    <row r="125" spans="1:9" outlineLevel="1" x14ac:dyDescent="0.35">
      <c r="A125" s="5"/>
      <c r="B125" s="14"/>
      <c r="C125" s="14"/>
      <c r="D125" s="14"/>
      <c r="E125" s="14"/>
      <c r="F125" s="14"/>
      <c r="G125" s="14"/>
      <c r="H125" s="14"/>
      <c r="I125" s="7"/>
    </row>
    <row r="126" spans="1:9" outlineLevel="1" x14ac:dyDescent="0.35">
      <c r="A126" s="5" t="s">
        <v>255</v>
      </c>
      <c r="B126" s="14"/>
      <c r="C126" s="14"/>
      <c r="D126" s="14"/>
      <c r="E126" s="138">
        <v>2000000</v>
      </c>
      <c r="F126" s="138">
        <f>+E126</f>
        <v>2000000</v>
      </c>
      <c r="G126" s="138">
        <v>1000000</v>
      </c>
      <c r="H126" s="139"/>
      <c r="I126" s="140"/>
    </row>
    <row r="127" spans="1:9" outlineLevel="1" x14ac:dyDescent="0.35">
      <c r="A127" s="5" t="s">
        <v>256</v>
      </c>
      <c r="B127" s="14"/>
      <c r="C127" s="14"/>
      <c r="D127" s="14"/>
      <c r="E127" s="124">
        <f>+D89+E126</f>
        <v>10975926.809999999</v>
      </c>
      <c r="F127" s="124">
        <f>+E89+F126</f>
        <v>12975926.809999999</v>
      </c>
      <c r="G127" s="124">
        <f>+F89+G126</f>
        <v>13975926.809999999</v>
      </c>
      <c r="H127" s="124">
        <f>+G89+H126</f>
        <v>13975926.809999999</v>
      </c>
      <c r="I127" s="125">
        <f>+H89+I126</f>
        <v>13975926.809999999</v>
      </c>
    </row>
    <row r="128" spans="1:9" outlineLevel="1" x14ac:dyDescent="0.35">
      <c r="A128" s="5"/>
      <c r="B128" s="14"/>
      <c r="C128" s="14"/>
      <c r="D128" s="14"/>
      <c r="E128" s="124"/>
      <c r="F128" s="124"/>
      <c r="G128" s="124"/>
      <c r="H128" s="14"/>
      <c r="I128" s="7"/>
    </row>
    <row r="129" spans="1:9" outlineLevel="1" x14ac:dyDescent="0.35">
      <c r="A129" s="5" t="s">
        <v>257</v>
      </c>
      <c r="B129" s="14"/>
      <c r="C129" s="14"/>
      <c r="D129" s="14"/>
      <c r="E129" s="138">
        <v>1000000</v>
      </c>
      <c r="F129" s="138">
        <v>1000000</v>
      </c>
      <c r="G129" s="138">
        <v>1000000</v>
      </c>
      <c r="H129" s="138">
        <v>1000000</v>
      </c>
      <c r="I129" s="141">
        <v>1000000</v>
      </c>
    </row>
    <row r="130" spans="1:9" outlineLevel="1" x14ac:dyDescent="0.35">
      <c r="A130" s="5" t="s">
        <v>258</v>
      </c>
      <c r="B130" s="14"/>
      <c r="C130" s="14"/>
      <c r="D130" s="14"/>
      <c r="E130" s="124">
        <f>+D92-E129</f>
        <v>18265707.296</v>
      </c>
      <c r="F130" s="124">
        <f>+E92-F129</f>
        <v>17265707.296</v>
      </c>
      <c r="G130" s="124">
        <f>+F92-G129</f>
        <v>16265707.296</v>
      </c>
      <c r="H130" s="124">
        <f>+G92-H129</f>
        <v>15265707.296</v>
      </c>
      <c r="I130" s="125">
        <f>+H92-I129</f>
        <v>14265707.296</v>
      </c>
    </row>
    <row r="131" spans="1:9" outlineLevel="1" x14ac:dyDescent="0.35">
      <c r="A131" s="5"/>
      <c r="B131" s="14"/>
      <c r="C131" s="14"/>
      <c r="D131" s="14"/>
      <c r="E131" s="14"/>
      <c r="F131" s="14"/>
      <c r="G131" s="14"/>
      <c r="H131" s="14"/>
      <c r="I131" s="7"/>
    </row>
    <row r="132" spans="1:9" outlineLevel="1" x14ac:dyDescent="0.35">
      <c r="A132" s="5" t="s">
        <v>259</v>
      </c>
      <c r="B132" s="135">
        <f>+(B100/B23*360)</f>
        <v>23.772927631360812</v>
      </c>
      <c r="C132" s="135">
        <f>+(C100/C23*360)</f>
        <v>47.261761710046379</v>
      </c>
      <c r="D132" s="135">
        <f>+(D100/D23*360)</f>
        <v>38.945810456714177</v>
      </c>
      <c r="E132" s="136">
        <f>+AVERAGE(B132:D132)</f>
        <v>36.660166599373788</v>
      </c>
      <c r="F132" s="136">
        <f>+E132</f>
        <v>36.660166599373788</v>
      </c>
      <c r="G132" s="136">
        <f t="shared" ref="G132:I132" si="62">+F132</f>
        <v>36.660166599373788</v>
      </c>
      <c r="H132" s="136">
        <f t="shared" si="62"/>
        <v>36.660166599373788</v>
      </c>
      <c r="I132" s="137">
        <f t="shared" si="62"/>
        <v>36.660166599373788</v>
      </c>
    </row>
    <row r="133" spans="1:9" outlineLevel="1" x14ac:dyDescent="0.35">
      <c r="A133" s="5" t="s">
        <v>260</v>
      </c>
      <c r="B133" s="14"/>
      <c r="C133" s="14"/>
      <c r="D133" s="14"/>
      <c r="E133" s="124">
        <f>+(E132*E23/360)</f>
        <v>2930938.911126548</v>
      </c>
      <c r="F133" s="124">
        <f>+(F132*F23/360)</f>
        <v>3029418.4585404005</v>
      </c>
      <c r="G133" s="124">
        <f>+(G132*G23/360)</f>
        <v>3127571.6165971095</v>
      </c>
      <c r="H133" s="124">
        <f>+(H132*H23/360)</f>
        <v>3224213.5795499599</v>
      </c>
      <c r="I133" s="125">
        <f>+(I132*I23/360)</f>
        <v>3290309.9579307339</v>
      </c>
    </row>
    <row r="134" spans="1:9" outlineLevel="1" x14ac:dyDescent="0.35">
      <c r="A134" s="5"/>
      <c r="B134" s="14"/>
      <c r="C134" s="14"/>
      <c r="D134" s="14"/>
      <c r="E134" s="14"/>
      <c r="F134" s="14"/>
      <c r="G134" s="14"/>
      <c r="H134" s="14"/>
      <c r="I134" s="7"/>
    </row>
    <row r="135" spans="1:9" outlineLevel="1" x14ac:dyDescent="0.35">
      <c r="A135" s="5"/>
      <c r="B135" s="14"/>
      <c r="C135" s="14"/>
      <c r="D135" s="14"/>
      <c r="E135" s="14"/>
      <c r="F135" s="14"/>
      <c r="G135" s="14"/>
      <c r="H135" s="14"/>
      <c r="I135" s="7"/>
    </row>
    <row r="136" spans="1:9" outlineLevel="1" x14ac:dyDescent="0.35">
      <c r="A136" s="5" t="s">
        <v>261</v>
      </c>
      <c r="B136" s="122"/>
      <c r="C136" s="122"/>
      <c r="D136" s="122"/>
      <c r="E136" s="138">
        <v>2000000</v>
      </c>
      <c r="F136" s="138">
        <f>+E136</f>
        <v>2000000</v>
      </c>
      <c r="G136" s="138">
        <f t="shared" ref="G136:I136" si="63">+F136</f>
        <v>2000000</v>
      </c>
      <c r="H136" s="138">
        <f t="shared" si="63"/>
        <v>2000000</v>
      </c>
      <c r="I136" s="141">
        <f t="shared" si="63"/>
        <v>2000000</v>
      </c>
    </row>
    <row r="137" spans="1:9" outlineLevel="1" x14ac:dyDescent="0.35">
      <c r="A137" s="5" t="s">
        <v>262</v>
      </c>
      <c r="B137" s="122"/>
      <c r="C137" s="122"/>
      <c r="D137" s="122"/>
      <c r="E137" s="124">
        <f>+D99-E136+E139</f>
        <v>39317655.039878339</v>
      </c>
      <c r="F137" s="124">
        <f>+E99-F136+F139</f>
        <v>38090465.197289906</v>
      </c>
      <c r="G137" s="124">
        <f>+F99-G136+G139</f>
        <v>36090465.197289906</v>
      </c>
      <c r="H137" s="124">
        <f>+G99-H136+H139</f>
        <v>34090465.197289906</v>
      </c>
      <c r="I137" s="124">
        <f>+H99-I136+I139</f>
        <v>32090465.197289906</v>
      </c>
    </row>
    <row r="138" spans="1:9" ht="15" outlineLevel="1" thickBot="1" x14ac:dyDescent="0.4">
      <c r="A138" s="131"/>
      <c r="B138" s="132"/>
      <c r="C138" s="132"/>
      <c r="D138" s="132"/>
      <c r="E138" s="132"/>
      <c r="F138" s="132"/>
      <c r="G138" s="132"/>
      <c r="H138" s="132"/>
      <c r="I138" s="142"/>
    </row>
    <row r="139" spans="1:9" outlineLevel="1" x14ac:dyDescent="0.35">
      <c r="A139" s="31" t="s">
        <v>263</v>
      </c>
      <c r="B139" s="19"/>
      <c r="C139" s="19"/>
      <c r="D139" s="19"/>
      <c r="E139" s="124">
        <f>+E165</f>
        <v>3232406.5708783409</v>
      </c>
      <c r="F139" s="124">
        <f t="shared" ref="F139:I139" si="64">+F165</f>
        <v>772810.15741156973</v>
      </c>
      <c r="G139" s="124">
        <f t="shared" si="64"/>
        <v>0</v>
      </c>
      <c r="H139" s="124">
        <f t="shared" si="64"/>
        <v>0</v>
      </c>
      <c r="I139" s="124">
        <f t="shared" si="64"/>
        <v>0</v>
      </c>
    </row>
    <row r="140" spans="1:9" x14ac:dyDescent="0.35">
      <c r="B140" s="19"/>
      <c r="C140" s="19"/>
      <c r="D140" s="19"/>
      <c r="E140" s="19"/>
      <c r="F140" s="19"/>
      <c r="G140" s="19"/>
      <c r="H140" s="19"/>
      <c r="I140" s="19"/>
    </row>
    <row r="141" spans="1:9" x14ac:dyDescent="0.35">
      <c r="A141" t="s">
        <v>262</v>
      </c>
      <c r="B141" s="19"/>
      <c r="C141" s="19"/>
      <c r="D141" s="19"/>
      <c r="E141" s="19"/>
      <c r="F141" s="19"/>
      <c r="G141" s="19"/>
      <c r="H141" s="19"/>
      <c r="I141" s="19"/>
    </row>
    <row r="142" spans="1:9" x14ac:dyDescent="0.35">
      <c r="B142" s="19"/>
      <c r="C142" s="19"/>
      <c r="D142" s="19"/>
      <c r="E142" s="19"/>
      <c r="F142" s="19"/>
      <c r="G142" s="19"/>
      <c r="H142" s="19"/>
      <c r="I142" s="19"/>
    </row>
    <row r="143" spans="1:9" x14ac:dyDescent="0.35">
      <c r="A143" s="3" t="s">
        <v>264</v>
      </c>
    </row>
    <row r="145" spans="1:9" x14ac:dyDescent="0.35">
      <c r="A145" s="1" t="s">
        <v>265</v>
      </c>
      <c r="E145" s="114">
        <f>+E37</f>
        <v>917801.0227663815</v>
      </c>
      <c r="F145" s="114">
        <f>+F37</f>
        <v>942822.36400097352</v>
      </c>
      <c r="G145" s="114">
        <f>+G37</f>
        <v>987586.79328421247</v>
      </c>
      <c r="H145" s="114">
        <f>+H37</f>
        <v>1222877.4318691785</v>
      </c>
      <c r="I145" s="114">
        <f>+I37</f>
        <v>1459741.7131844587</v>
      </c>
    </row>
    <row r="146" spans="1:9" x14ac:dyDescent="0.35">
      <c r="A146" s="1" t="s">
        <v>266</v>
      </c>
      <c r="E146" s="114">
        <f t="shared" ref="E146:I147" si="65">+E42</f>
        <v>395259.93059999991</v>
      </c>
      <c r="F146" s="114">
        <f t="shared" si="65"/>
        <v>555733.93753999996</v>
      </c>
      <c r="G146" s="114">
        <f t="shared" si="65"/>
        <v>700160.54378599999</v>
      </c>
      <c r="H146" s="114">
        <f t="shared" si="65"/>
        <v>730144.4894073999</v>
      </c>
      <c r="I146" s="114">
        <f t="shared" si="65"/>
        <v>657130.04046665994</v>
      </c>
    </row>
    <row r="147" spans="1:9" x14ac:dyDescent="0.35">
      <c r="A147" s="1" t="s">
        <v>267</v>
      </c>
      <c r="E147" s="114">
        <f t="shared" si="65"/>
        <v>1089202.4082000002</v>
      </c>
      <c r="F147" s="114">
        <f t="shared" si="65"/>
        <v>871361.92656000005</v>
      </c>
      <c r="G147" s="114">
        <f t="shared" si="65"/>
        <v>697089.54124799999</v>
      </c>
      <c r="H147" s="114">
        <f t="shared" si="65"/>
        <v>557671.63299840002</v>
      </c>
      <c r="I147" s="114">
        <f t="shared" si="65"/>
        <v>446137.30639872001</v>
      </c>
    </row>
    <row r="148" spans="1:9" ht="15" thickBot="1" x14ac:dyDescent="0.4">
      <c r="A148" s="3" t="s">
        <v>268</v>
      </c>
      <c r="E148" s="115">
        <f>+SUM(E145:E147)</f>
        <v>2402263.3615663815</v>
      </c>
      <c r="F148" s="115">
        <f t="shared" ref="F148:I148" si="66">+SUM(F145:F147)</f>
        <v>2369918.2281009736</v>
      </c>
      <c r="G148" s="115">
        <f t="shared" si="66"/>
        <v>2384836.8783182125</v>
      </c>
      <c r="H148" s="115">
        <f t="shared" si="66"/>
        <v>2510693.5542749786</v>
      </c>
      <c r="I148" s="115">
        <f t="shared" si="66"/>
        <v>2563009.0600498389</v>
      </c>
    </row>
    <row r="149" spans="1:9" ht="15" thickTop="1" x14ac:dyDescent="0.35">
      <c r="A149" s="1"/>
    </row>
    <row r="150" spans="1:9" x14ac:dyDescent="0.35">
      <c r="A150" s="1" t="s">
        <v>269</v>
      </c>
      <c r="E150" s="114">
        <f t="shared" ref="E150:I151" si="67">+E86-D86</f>
        <v>6326076.1398174837</v>
      </c>
      <c r="F150" s="114">
        <f t="shared" si="67"/>
        <v>230196.0956002688</v>
      </c>
      <c r="G150" s="114">
        <f t="shared" si="67"/>
        <v>229433.15996913519</v>
      </c>
      <c r="H150" s="114">
        <f t="shared" si="67"/>
        <v>225900.73905805312</v>
      </c>
      <c r="I150" s="114">
        <f t="shared" si="67"/>
        <v>154500.38750312105</v>
      </c>
    </row>
    <row r="151" spans="1:9" x14ac:dyDescent="0.35">
      <c r="A151" s="1" t="s">
        <v>270</v>
      </c>
      <c r="E151" s="114">
        <f t="shared" si="67"/>
        <v>52268.755753785954</v>
      </c>
      <c r="F151" s="114">
        <f t="shared" si="67"/>
        <v>11011.837326127221</v>
      </c>
      <c r="G151" s="114">
        <f t="shared" si="67"/>
        <v>10975.340950989164</v>
      </c>
      <c r="H151" s="114">
        <f t="shared" si="67"/>
        <v>10806.36134975485</v>
      </c>
      <c r="I151" s="114">
        <f t="shared" si="67"/>
        <v>7390.7992643034668</v>
      </c>
    </row>
    <row r="152" spans="1:9" x14ac:dyDescent="0.35">
      <c r="A152" s="1" t="s">
        <v>271</v>
      </c>
      <c r="E152" s="114">
        <f t="shared" ref="E152:I153" si="68">+E93-D93</f>
        <v>0</v>
      </c>
      <c r="F152" s="114">
        <f t="shared" si="68"/>
        <v>0</v>
      </c>
      <c r="G152" s="114">
        <f t="shared" si="68"/>
        <v>0</v>
      </c>
      <c r="H152" s="114">
        <f t="shared" si="68"/>
        <v>0</v>
      </c>
      <c r="I152" s="114">
        <f t="shared" si="68"/>
        <v>0</v>
      </c>
    </row>
    <row r="153" spans="1:9" x14ac:dyDescent="0.35">
      <c r="A153" s="1" t="s">
        <v>272</v>
      </c>
      <c r="E153" s="114">
        <f t="shared" si="68"/>
        <v>0</v>
      </c>
      <c r="F153" s="114">
        <f t="shared" si="68"/>
        <v>0</v>
      </c>
      <c r="G153" s="114">
        <f t="shared" si="68"/>
        <v>0</v>
      </c>
      <c r="H153" s="114">
        <f t="shared" si="68"/>
        <v>0</v>
      </c>
      <c r="I153" s="114">
        <f t="shared" si="68"/>
        <v>0</v>
      </c>
    </row>
    <row r="154" spans="1:9" x14ac:dyDescent="0.35">
      <c r="A154" s="1" t="s">
        <v>273</v>
      </c>
      <c r="E154" s="114">
        <f t="shared" ref="E154:I158" si="69">+E100-D100</f>
        <v>173903.33312654775</v>
      </c>
      <c r="F154" s="114">
        <f t="shared" si="69"/>
        <v>98479.547413852531</v>
      </c>
      <c r="G154" s="114">
        <f t="shared" si="69"/>
        <v>98153.158056708984</v>
      </c>
      <c r="H154" s="114">
        <f t="shared" si="69"/>
        <v>96641.962952850387</v>
      </c>
      <c r="I154" s="114">
        <f t="shared" si="69"/>
        <v>66096.378380774055</v>
      </c>
    </row>
    <row r="155" spans="1:9" x14ac:dyDescent="0.35">
      <c r="A155" s="1" t="s">
        <v>274</v>
      </c>
      <c r="E155" s="114">
        <f t="shared" si="69"/>
        <v>0</v>
      </c>
      <c r="F155" s="114">
        <f t="shared" si="69"/>
        <v>0</v>
      </c>
      <c r="G155" s="114">
        <f t="shared" si="69"/>
        <v>0</v>
      </c>
      <c r="H155" s="114">
        <f t="shared" si="69"/>
        <v>0</v>
      </c>
      <c r="I155" s="114">
        <f t="shared" si="69"/>
        <v>0</v>
      </c>
    </row>
    <row r="156" spans="1:9" x14ac:dyDescent="0.35">
      <c r="A156" s="1" t="s">
        <v>275</v>
      </c>
      <c r="E156" s="114">
        <f t="shared" si="69"/>
        <v>0</v>
      </c>
      <c r="F156" s="114">
        <f t="shared" si="69"/>
        <v>0</v>
      </c>
      <c r="G156" s="114">
        <f t="shared" si="69"/>
        <v>0</v>
      </c>
      <c r="H156" s="114">
        <f t="shared" si="69"/>
        <v>0</v>
      </c>
      <c r="I156" s="114">
        <f t="shared" si="69"/>
        <v>0</v>
      </c>
    </row>
    <row r="157" spans="1:9" x14ac:dyDescent="0.35">
      <c r="A157" s="1" t="s">
        <v>276</v>
      </c>
      <c r="E157" s="114">
        <f t="shared" si="69"/>
        <v>0</v>
      </c>
      <c r="F157" s="114">
        <f t="shared" si="69"/>
        <v>0</v>
      </c>
      <c r="G157" s="114">
        <f t="shared" si="69"/>
        <v>0</v>
      </c>
      <c r="H157" s="114">
        <f t="shared" si="69"/>
        <v>0</v>
      </c>
      <c r="I157" s="114">
        <f t="shared" si="69"/>
        <v>0</v>
      </c>
    </row>
    <row r="158" spans="1:9" x14ac:dyDescent="0.35">
      <c r="A158" s="1" t="s">
        <v>277</v>
      </c>
      <c r="E158" s="114">
        <f t="shared" si="69"/>
        <v>0</v>
      </c>
      <c r="F158" s="114">
        <f t="shared" si="69"/>
        <v>0</v>
      </c>
      <c r="G158" s="114">
        <f t="shared" si="69"/>
        <v>0</v>
      </c>
      <c r="H158" s="114">
        <f t="shared" si="69"/>
        <v>0</v>
      </c>
      <c r="I158" s="114">
        <f t="shared" si="69"/>
        <v>0</v>
      </c>
    </row>
    <row r="159" spans="1:9" ht="15" thickBot="1" x14ac:dyDescent="0.4">
      <c r="A159" s="3" t="s">
        <v>278</v>
      </c>
      <c r="E159" s="115">
        <f>+-SUM(E150:E153)+SUM(E154:E158)</f>
        <v>-6204441.5624447223</v>
      </c>
      <c r="F159" s="115">
        <f t="shared" ref="F159:I159" si="70">+-SUM(F150:F153)+SUM(F154:F158)</f>
        <v>-142728.38551254349</v>
      </c>
      <c r="G159" s="115">
        <f t="shared" si="70"/>
        <v>-142255.34286341537</v>
      </c>
      <c r="H159" s="115">
        <f t="shared" si="70"/>
        <v>-140065.13745495758</v>
      </c>
      <c r="I159" s="115">
        <f t="shared" si="70"/>
        <v>-95794.80838665046</v>
      </c>
    </row>
    <row r="160" spans="1:9" ht="15" thickTop="1" x14ac:dyDescent="0.35">
      <c r="A160" s="1"/>
      <c r="E160" s="114"/>
      <c r="F160" s="114"/>
      <c r="G160" s="114"/>
      <c r="H160" s="114"/>
      <c r="I160" s="114"/>
    </row>
    <row r="161" spans="1:9" x14ac:dyDescent="0.35">
      <c r="A161" s="1" t="s">
        <v>279</v>
      </c>
      <c r="E161" s="114">
        <f>+E89-D89</f>
        <v>2000000</v>
      </c>
      <c r="F161" s="114">
        <f>+F89-E89</f>
        <v>2000000</v>
      </c>
      <c r="G161" s="114">
        <f>+G89-F89</f>
        <v>1000000</v>
      </c>
      <c r="H161" s="114">
        <f>+H89-G89</f>
        <v>0</v>
      </c>
      <c r="I161" s="114">
        <f>+I89-H89</f>
        <v>0</v>
      </c>
    </row>
    <row r="162" spans="1:9" x14ac:dyDescent="0.35">
      <c r="A162" s="1" t="s">
        <v>280</v>
      </c>
      <c r="E162" s="114">
        <f>+E92-D92</f>
        <v>-1000000</v>
      </c>
      <c r="F162" s="114">
        <f>+F92-E92</f>
        <v>-1000000</v>
      </c>
      <c r="G162" s="114">
        <f>+G92-F92</f>
        <v>-1000000</v>
      </c>
      <c r="H162" s="114">
        <f>+H92-G92</f>
        <v>-1000000</v>
      </c>
      <c r="I162" s="114">
        <f>+I92-H92</f>
        <v>-1000000</v>
      </c>
    </row>
    <row r="163" spans="1:9" ht="15" thickBot="1" x14ac:dyDescent="0.4">
      <c r="A163" s="3" t="s">
        <v>281</v>
      </c>
      <c r="E163" s="115">
        <f>-SUM(E161:E162)</f>
        <v>-1000000</v>
      </c>
      <c r="F163" s="115">
        <f t="shared" ref="F163:I163" si="71">-SUM(F161:F162)</f>
        <v>-1000000</v>
      </c>
      <c r="G163" s="115">
        <f t="shared" si="71"/>
        <v>0</v>
      </c>
      <c r="H163" s="115">
        <f t="shared" si="71"/>
        <v>1000000</v>
      </c>
      <c r="I163" s="115">
        <f t="shared" si="71"/>
        <v>1000000</v>
      </c>
    </row>
    <row r="164" spans="1:9" ht="15" thickTop="1" x14ac:dyDescent="0.35">
      <c r="A164" s="1"/>
      <c r="E164" s="114"/>
      <c r="F164" s="114"/>
      <c r="G164" s="114"/>
      <c r="H164" s="114"/>
      <c r="I164" s="114"/>
    </row>
    <row r="165" spans="1:9" x14ac:dyDescent="0.35">
      <c r="A165" s="1" t="s">
        <v>282</v>
      </c>
      <c r="E165" s="114">
        <f t="shared" ref="E165:I165" si="72">+E174</f>
        <v>3232406.5708783409</v>
      </c>
      <c r="F165" s="114">
        <f t="shared" si="72"/>
        <v>772810.15741156973</v>
      </c>
      <c r="G165" s="114">
        <f t="shared" si="72"/>
        <v>0</v>
      </c>
      <c r="H165" s="114">
        <f t="shared" si="72"/>
        <v>0</v>
      </c>
      <c r="I165" s="114">
        <f t="shared" si="72"/>
        <v>0</v>
      </c>
    </row>
    <row r="166" spans="1:9" x14ac:dyDescent="0.35">
      <c r="A166" s="1" t="s">
        <v>283</v>
      </c>
      <c r="E166" s="114">
        <f>+-E136</f>
        <v>-2000000</v>
      </c>
      <c r="F166" s="114">
        <f t="shared" ref="F166:I166" si="73">+-F136</f>
        <v>-2000000</v>
      </c>
      <c r="G166" s="114">
        <f t="shared" si="73"/>
        <v>-2000000</v>
      </c>
      <c r="H166" s="114">
        <f t="shared" si="73"/>
        <v>-2000000</v>
      </c>
      <c r="I166" s="114">
        <f t="shared" si="73"/>
        <v>-2000000</v>
      </c>
    </row>
    <row r="167" spans="1:9" ht="15" thickBot="1" x14ac:dyDescent="0.4">
      <c r="A167" s="3" t="s">
        <v>284</v>
      </c>
      <c r="E167" s="115">
        <f>+E165+E166</f>
        <v>1232406.5708783409</v>
      </c>
      <c r="F167" s="115">
        <f t="shared" ref="F167:I167" si="74">+F165+F166</f>
        <v>-1227189.8425884303</v>
      </c>
      <c r="G167" s="115">
        <f t="shared" si="74"/>
        <v>-2000000</v>
      </c>
      <c r="H167" s="115">
        <f t="shared" si="74"/>
        <v>-2000000</v>
      </c>
      <c r="I167" s="115">
        <f t="shared" si="74"/>
        <v>-2000000</v>
      </c>
    </row>
    <row r="168" spans="1:9" ht="15" thickTop="1" x14ac:dyDescent="0.35">
      <c r="A168" s="1"/>
      <c r="E168" s="114"/>
      <c r="F168" s="114"/>
      <c r="G168" s="114"/>
      <c r="H168" s="114"/>
      <c r="I168" s="114"/>
    </row>
    <row r="169" spans="1:9" x14ac:dyDescent="0.35">
      <c r="A169" s="2" t="s">
        <v>285</v>
      </c>
      <c r="E169" s="116">
        <f>+E148+E159+E163+E167</f>
        <v>-3569771.63</v>
      </c>
      <c r="F169" s="116">
        <f t="shared" ref="F169:I169" si="75">+F148+F159+F163+F167</f>
        <v>0</v>
      </c>
      <c r="G169" s="116">
        <f t="shared" si="75"/>
        <v>242581.53545479709</v>
      </c>
      <c r="H169" s="116">
        <f t="shared" si="75"/>
        <v>1370628.4168200209</v>
      </c>
      <c r="I169" s="116">
        <f t="shared" si="75"/>
        <v>1467214.2516631885</v>
      </c>
    </row>
    <row r="170" spans="1:9" x14ac:dyDescent="0.35">
      <c r="A170" s="2" t="s">
        <v>286</v>
      </c>
      <c r="C170" s="200">
        <f>+E148+E159+E163+E167-E175+E170</f>
        <v>0</v>
      </c>
      <c r="E170" s="116">
        <f>+D172</f>
        <v>4069771.63</v>
      </c>
      <c r="F170" s="116">
        <f t="shared" ref="F170:I170" si="76">+E172</f>
        <v>500000</v>
      </c>
      <c r="G170" s="116">
        <f t="shared" si="76"/>
        <v>500000</v>
      </c>
      <c r="H170" s="116">
        <f t="shared" si="76"/>
        <v>742581.53545479709</v>
      </c>
      <c r="I170" s="116">
        <f t="shared" si="76"/>
        <v>2113209.952274818</v>
      </c>
    </row>
    <row r="171" spans="1:9" x14ac:dyDescent="0.35">
      <c r="A171" s="1"/>
      <c r="E171" s="114"/>
      <c r="F171" s="114"/>
      <c r="G171" s="114"/>
      <c r="H171" s="114"/>
      <c r="I171" s="114"/>
    </row>
    <row r="172" spans="1:9" ht="15" thickBot="1" x14ac:dyDescent="0.4">
      <c r="A172" s="3" t="s">
        <v>287</v>
      </c>
      <c r="D172" s="113">
        <f>+D85</f>
        <v>4069771.63</v>
      </c>
      <c r="E172" s="115">
        <f>+E169+E170</f>
        <v>500000</v>
      </c>
      <c r="F172" s="115">
        <f t="shared" ref="F172:I172" si="77">+F169+F170</f>
        <v>500000</v>
      </c>
      <c r="G172" s="115">
        <f t="shared" si="77"/>
        <v>742581.53545479709</v>
      </c>
      <c r="H172" s="115">
        <f t="shared" si="77"/>
        <v>2113209.952274818</v>
      </c>
      <c r="I172" s="115">
        <f t="shared" si="77"/>
        <v>3580424.2039380064</v>
      </c>
    </row>
    <row r="173" spans="1:9" ht="15" thickTop="1" x14ac:dyDescent="0.35">
      <c r="E173" s="114"/>
      <c r="F173" s="114"/>
      <c r="G173" s="114"/>
      <c r="H173" s="114"/>
      <c r="I173" s="114"/>
    </row>
    <row r="174" spans="1:9" x14ac:dyDescent="0.35">
      <c r="A174" t="s">
        <v>288</v>
      </c>
      <c r="E174" s="114">
        <f>+IF(E148+E159+E163+E166+E170&lt;0,-(E148+E159+E163+E166+E170-$E$175),IF((E148+E159+E163+E166+E170)&lt;$E$175,$E$175-(E148+E159+E163+E166+E170),0))</f>
        <v>3232406.5708783409</v>
      </c>
      <c r="F174" s="114">
        <f t="shared" ref="F174:I174" si="78">+IF(F148+F159+F163+F166+F170&lt;0,-(F148+F159+F163+F166+F170-$E$175),IF((F148+F159+F163+F166+F170)&lt;$E$175,$E$175-(F148+F159+F163+F166+F170),0))</f>
        <v>772810.15741156973</v>
      </c>
      <c r="G174" s="114">
        <f t="shared" si="78"/>
        <v>0</v>
      </c>
      <c r="H174" s="114">
        <f t="shared" si="78"/>
        <v>0</v>
      </c>
      <c r="I174" s="114">
        <f t="shared" si="78"/>
        <v>0</v>
      </c>
    </row>
    <row r="175" spans="1:9" x14ac:dyDescent="0.35">
      <c r="A175" t="s">
        <v>289</v>
      </c>
      <c r="E175" s="20">
        <v>500000</v>
      </c>
      <c r="F175" s="20">
        <v>500000</v>
      </c>
      <c r="G175" s="20">
        <v>500000</v>
      </c>
      <c r="H175" s="20">
        <v>500000</v>
      </c>
      <c r="I175" s="20">
        <v>500000</v>
      </c>
    </row>
    <row r="176" spans="1:9" x14ac:dyDescent="0.35">
      <c r="E176" s="114"/>
      <c r="F176" s="114"/>
      <c r="G176" s="114"/>
      <c r="H176" s="114"/>
      <c r="I176" s="114"/>
    </row>
    <row r="177" spans="1:16" x14ac:dyDescent="0.35">
      <c r="E177" s="114"/>
      <c r="F177" s="114"/>
      <c r="G177" s="114"/>
      <c r="H177" s="114"/>
      <c r="I177" s="114"/>
    </row>
    <row r="178" spans="1:16" x14ac:dyDescent="0.35">
      <c r="A178" s="3" t="s">
        <v>290</v>
      </c>
    </row>
    <row r="180" spans="1:16" x14ac:dyDescent="0.35">
      <c r="A180" s="4" t="s">
        <v>291</v>
      </c>
      <c r="E180" s="20">
        <f t="shared" ref="E180:I181" si="79">+E22</f>
        <v>41106445.6429049</v>
      </c>
      <c r="F180" s="20">
        <f t="shared" si="79"/>
        <v>42487622.216506511</v>
      </c>
      <c r="G180" s="20">
        <f t="shared" si="79"/>
        <v>43864221.17632132</v>
      </c>
      <c r="H180" s="20">
        <f t="shared" si="79"/>
        <v>45219625.610669643</v>
      </c>
      <c r="I180" s="20">
        <f t="shared" si="79"/>
        <v>46146627.935688369</v>
      </c>
      <c r="J180" s="203" t="s">
        <v>44</v>
      </c>
      <c r="K180" s="203"/>
      <c r="L180" s="203"/>
      <c r="M180" s="203"/>
      <c r="N180" s="203"/>
      <c r="O180" s="203"/>
      <c r="P180" s="203"/>
    </row>
    <row r="181" spans="1:16" x14ac:dyDescent="0.35">
      <c r="A181" s="4" t="s">
        <v>292</v>
      </c>
      <c r="E181" s="20">
        <f t="shared" si="79"/>
        <v>28781593.371798281</v>
      </c>
      <c r="F181" s="20">
        <f t="shared" si="79"/>
        <v>29748654.909090705</v>
      </c>
      <c r="G181" s="20">
        <f t="shared" si="79"/>
        <v>30712511.328145243</v>
      </c>
      <c r="H181" s="20">
        <f t="shared" si="79"/>
        <v>31661527.928184927</v>
      </c>
      <c r="I181" s="20">
        <f t="shared" si="79"/>
        <v>32310589.250712719</v>
      </c>
      <c r="J181" s="203"/>
      <c r="K181" s="203"/>
      <c r="L181" s="203"/>
      <c r="M181" s="203"/>
      <c r="N181" s="203"/>
      <c r="O181" s="203"/>
      <c r="P181" s="203"/>
    </row>
    <row r="182" spans="1:16" ht="15" thickBot="1" x14ac:dyDescent="0.4">
      <c r="A182" s="3" t="s">
        <v>293</v>
      </c>
      <c r="E182" s="113">
        <f>+E180-E181</f>
        <v>12324852.271106619</v>
      </c>
      <c r="F182" s="113">
        <f t="shared" ref="F182:I182" si="80">+F180-F181</f>
        <v>12738967.307415806</v>
      </c>
      <c r="G182" s="113">
        <f t="shared" si="80"/>
        <v>13151709.848176077</v>
      </c>
      <c r="H182" s="113">
        <f t="shared" si="80"/>
        <v>13558097.682484716</v>
      </c>
      <c r="I182" s="113">
        <f t="shared" si="80"/>
        <v>13836038.68497565</v>
      </c>
      <c r="J182" s="203"/>
      <c r="K182" s="203"/>
      <c r="L182" s="203"/>
      <c r="M182" s="203"/>
      <c r="N182" s="203"/>
      <c r="O182" s="203"/>
      <c r="P182" s="203"/>
    </row>
    <row r="183" spans="1:16" ht="15" thickTop="1" x14ac:dyDescent="0.35">
      <c r="A183" s="4" t="s">
        <v>294</v>
      </c>
      <c r="E183" s="20">
        <f>+E26</f>
        <v>3656656.6795117045</v>
      </c>
      <c r="F183" s="20">
        <f>+F26</f>
        <v>3779520.3439432988</v>
      </c>
      <c r="G183" s="20">
        <f>+G26</f>
        <v>3901976.8030870613</v>
      </c>
      <c r="H183" s="20">
        <f>+H26</f>
        <v>4022547.8863024507</v>
      </c>
      <c r="I183" s="20">
        <f>+I26</f>
        <v>4105010.1179716513</v>
      </c>
      <c r="J183" s="203"/>
      <c r="K183" s="203"/>
      <c r="L183" s="203"/>
      <c r="M183" s="203"/>
      <c r="N183" s="203"/>
      <c r="O183" s="203"/>
      <c r="P183" s="203"/>
    </row>
    <row r="184" spans="1:16" ht="15" thickBot="1" x14ac:dyDescent="0.4">
      <c r="A184" s="3" t="s">
        <v>295</v>
      </c>
      <c r="E184" s="113">
        <f>+E182-E183</f>
        <v>8668195.5915949158</v>
      </c>
      <c r="F184" s="113">
        <f>+F182-F183</f>
        <v>8959446.9634725079</v>
      </c>
      <c r="G184" s="113">
        <f>+G182-G183</f>
        <v>9249733.0450890157</v>
      </c>
      <c r="H184" s="113">
        <f>+H182-H183</f>
        <v>9535549.7961822655</v>
      </c>
      <c r="I184" s="113">
        <f>+I182-I183</f>
        <v>9731028.5670039989</v>
      </c>
      <c r="J184" s="203"/>
      <c r="K184" s="203"/>
      <c r="L184" s="203"/>
      <c r="M184" s="203"/>
      <c r="N184" s="203"/>
      <c r="O184" s="203"/>
      <c r="P184" s="203"/>
    </row>
    <row r="185" spans="1:16" ht="15" thickTop="1" x14ac:dyDescent="0.35">
      <c r="A185" s="4" t="s">
        <v>266</v>
      </c>
      <c r="E185" s="20">
        <f t="shared" ref="E185:I186" si="81">+E42</f>
        <v>395259.93059999991</v>
      </c>
      <c r="F185" s="20">
        <f t="shared" si="81"/>
        <v>555733.93753999996</v>
      </c>
      <c r="G185" s="20">
        <f t="shared" si="81"/>
        <v>700160.54378599999</v>
      </c>
      <c r="H185" s="20">
        <f t="shared" si="81"/>
        <v>730144.4894073999</v>
      </c>
      <c r="I185" s="20">
        <f t="shared" si="81"/>
        <v>657130.04046665994</v>
      </c>
      <c r="J185" s="203"/>
      <c r="K185" s="203"/>
      <c r="L185" s="203"/>
      <c r="M185" s="203"/>
      <c r="N185" s="203"/>
      <c r="O185" s="203"/>
      <c r="P185" s="203"/>
    </row>
    <row r="186" spans="1:16" x14ac:dyDescent="0.35">
      <c r="A186" s="4" t="s">
        <v>296</v>
      </c>
      <c r="E186" s="20">
        <f t="shared" si="81"/>
        <v>1089202.4082000002</v>
      </c>
      <c r="F186" s="20">
        <f t="shared" si="81"/>
        <v>871361.92656000005</v>
      </c>
      <c r="G186" s="20">
        <f t="shared" si="81"/>
        <v>697089.54124799999</v>
      </c>
      <c r="H186" s="20">
        <f t="shared" si="81"/>
        <v>557671.63299840002</v>
      </c>
      <c r="I186" s="20">
        <f t="shared" si="81"/>
        <v>446137.30639872001</v>
      </c>
      <c r="J186" s="203"/>
      <c r="K186" s="203"/>
      <c r="L186" s="203"/>
      <c r="M186" s="203"/>
      <c r="N186" s="203"/>
      <c r="O186" s="203"/>
      <c r="P186" s="203"/>
    </row>
    <row r="187" spans="1:16" ht="15" thickBot="1" x14ac:dyDescent="0.4">
      <c r="A187" s="3" t="s">
        <v>0</v>
      </c>
      <c r="E187" s="113">
        <f>+E184+E185+E186</f>
        <v>10152657.930394916</v>
      </c>
      <c r="F187" s="113">
        <f t="shared" ref="F187:I187" si="82">+F184+F185+F186</f>
        <v>10386542.827572508</v>
      </c>
      <c r="G187" s="113">
        <f t="shared" si="82"/>
        <v>10646983.130123015</v>
      </c>
      <c r="H187" s="113">
        <f t="shared" si="82"/>
        <v>10823365.918588065</v>
      </c>
      <c r="I187" s="113">
        <f t="shared" si="82"/>
        <v>10834295.913869379</v>
      </c>
      <c r="J187" s="203"/>
      <c r="K187" s="203"/>
      <c r="L187" s="203"/>
      <c r="M187" s="203"/>
      <c r="N187" s="203"/>
      <c r="O187" s="203"/>
      <c r="P187" s="203"/>
    </row>
    <row r="188" spans="1:16" ht="15" thickTop="1" x14ac:dyDescent="0.35">
      <c r="A188" s="4" t="s">
        <v>297</v>
      </c>
      <c r="E188" s="20">
        <f>+E187*5%</f>
        <v>507632.89651974582</v>
      </c>
      <c r="F188" s="20">
        <f t="shared" ref="F188:I188" si="83">+F187*5%</f>
        <v>519327.14137862541</v>
      </c>
      <c r="G188" s="20">
        <f t="shared" si="83"/>
        <v>532349.15650615084</v>
      </c>
      <c r="H188" s="20">
        <f t="shared" si="83"/>
        <v>541168.29592940328</v>
      </c>
      <c r="I188" s="20">
        <f t="shared" si="83"/>
        <v>541714.795693469</v>
      </c>
      <c r="J188" s="203"/>
      <c r="K188" s="203"/>
      <c r="L188" s="203"/>
      <c r="M188" s="203"/>
      <c r="N188" s="203"/>
      <c r="O188" s="203"/>
      <c r="P188" s="203"/>
    </row>
    <row r="189" spans="1:16" ht="15" thickBot="1" x14ac:dyDescent="0.4">
      <c r="A189" s="3" t="s">
        <v>1</v>
      </c>
      <c r="E189" s="113">
        <f>+E187-E188</f>
        <v>9645025.0338751692</v>
      </c>
      <c r="F189" s="113">
        <f t="shared" ref="F189:I189" si="84">+F187-F188</f>
        <v>9867215.6861938816</v>
      </c>
      <c r="G189" s="113">
        <f t="shared" si="84"/>
        <v>10114633.973616865</v>
      </c>
      <c r="H189" s="113">
        <f t="shared" si="84"/>
        <v>10282197.622658661</v>
      </c>
      <c r="I189" s="113">
        <f t="shared" si="84"/>
        <v>10292581.118175911</v>
      </c>
      <c r="J189" s="203"/>
      <c r="K189" s="203"/>
      <c r="L189" s="203"/>
      <c r="M189" s="203"/>
      <c r="N189" s="203"/>
      <c r="O189" s="203"/>
      <c r="P189" s="203"/>
    </row>
    <row r="190" spans="1:16" ht="15" thickTop="1" x14ac:dyDescent="0.35">
      <c r="A190" s="4" t="s">
        <v>298</v>
      </c>
      <c r="E190" s="114">
        <f>+E159</f>
        <v>-6204441.5624447223</v>
      </c>
      <c r="F190" s="114">
        <f t="shared" ref="F190:I190" si="85">+F159</f>
        <v>-142728.38551254349</v>
      </c>
      <c r="G190" s="114">
        <f t="shared" si="85"/>
        <v>-142255.34286341537</v>
      </c>
      <c r="H190" s="114">
        <f t="shared" si="85"/>
        <v>-140065.13745495758</v>
      </c>
      <c r="I190" s="114">
        <f t="shared" si="85"/>
        <v>-95794.80838665046</v>
      </c>
      <c r="J190" s="203"/>
      <c r="K190" s="203"/>
      <c r="L190" s="203"/>
      <c r="M190" s="203"/>
      <c r="N190" s="203"/>
      <c r="O190" s="203"/>
      <c r="P190" s="203"/>
    </row>
    <row r="191" spans="1:16" x14ac:dyDescent="0.35">
      <c r="A191" s="4" t="s">
        <v>299</v>
      </c>
      <c r="E191" s="114">
        <f>+E163</f>
        <v>-1000000</v>
      </c>
      <c r="F191" s="114">
        <f t="shared" ref="F191:I191" si="86">+F163</f>
        <v>-1000000</v>
      </c>
      <c r="G191" s="114">
        <f t="shared" si="86"/>
        <v>0</v>
      </c>
      <c r="H191" s="114">
        <f t="shared" si="86"/>
        <v>1000000</v>
      </c>
      <c r="I191" s="114">
        <f t="shared" si="86"/>
        <v>1000000</v>
      </c>
      <c r="J191" s="203"/>
      <c r="K191" s="203"/>
      <c r="L191" s="203"/>
      <c r="M191" s="203"/>
      <c r="N191" s="203"/>
      <c r="O191" s="203"/>
      <c r="P191" s="203"/>
    </row>
    <row r="192" spans="1:16" ht="15" thickBot="1" x14ac:dyDescent="0.4">
      <c r="A192" s="3" t="s">
        <v>300</v>
      </c>
      <c r="E192" s="117">
        <f>+E189+E190+E191</f>
        <v>2440583.471430447</v>
      </c>
      <c r="F192" s="115">
        <f t="shared" ref="F192:I192" si="87">+F189+F190+F191</f>
        <v>8724487.3006813377</v>
      </c>
      <c r="G192" s="115">
        <f t="shared" si="87"/>
        <v>9972378.6307534501</v>
      </c>
      <c r="H192" s="115">
        <f t="shared" si="87"/>
        <v>11142132.485203704</v>
      </c>
      <c r="I192" s="115">
        <f t="shared" si="87"/>
        <v>11196786.309789261</v>
      </c>
    </row>
    <row r="193" spans="1:10" ht="15" thickTop="1" x14ac:dyDescent="0.35">
      <c r="E193" s="20"/>
      <c r="F193" s="20"/>
      <c r="G193" s="20"/>
      <c r="H193" s="20"/>
      <c r="I193" t="s">
        <v>45</v>
      </c>
    </row>
    <row r="194" spans="1:10" x14ac:dyDescent="0.35">
      <c r="E194" s="20"/>
      <c r="F194" s="20"/>
      <c r="G194" s="20"/>
      <c r="H194" s="20"/>
      <c r="I194" s="20"/>
    </row>
    <row r="195" spans="1:10" x14ac:dyDescent="0.35">
      <c r="E195" s="20"/>
      <c r="F195" s="20"/>
      <c r="G195" s="20"/>
      <c r="H195" s="20"/>
      <c r="I195" s="20"/>
    </row>
    <row r="196" spans="1:10" x14ac:dyDescent="0.35">
      <c r="E196" s="20"/>
      <c r="F196" s="20"/>
      <c r="G196" s="20"/>
      <c r="H196" s="20"/>
      <c r="I196" s="20"/>
    </row>
    <row r="197" spans="1:10" x14ac:dyDescent="0.35">
      <c r="E197" s="20"/>
      <c r="F197" s="20"/>
      <c r="G197" s="20"/>
      <c r="H197" s="20"/>
      <c r="I197" s="20"/>
    </row>
    <row r="198" spans="1:10" x14ac:dyDescent="0.35">
      <c r="A198" s="3" t="s">
        <v>33</v>
      </c>
      <c r="E198" s="20"/>
      <c r="F198" s="20"/>
      <c r="G198" s="20"/>
      <c r="H198" s="20"/>
      <c r="I198" s="20"/>
    </row>
    <row r="199" spans="1:10" ht="15" thickBot="1" x14ac:dyDescent="0.4"/>
    <row r="200" spans="1:10" x14ac:dyDescent="0.35">
      <c r="A200" s="151" t="s">
        <v>301</v>
      </c>
      <c r="B200" s="152">
        <f>+'Taxas EUA'!D93</f>
        <v>5.8040558483431884E-2</v>
      </c>
    </row>
    <row r="201" spans="1:10" x14ac:dyDescent="0.35">
      <c r="A201" s="5" t="s">
        <v>302</v>
      </c>
      <c r="B201" s="137">
        <f>+Betas!C33</f>
        <v>1.0722377127659573</v>
      </c>
      <c r="F201" t="s">
        <v>31</v>
      </c>
      <c r="G201">
        <v>1000</v>
      </c>
      <c r="H201" s="37">
        <v>0.16</v>
      </c>
      <c r="I201" s="12">
        <f>+G201/G203</f>
        <v>0.2857142857142857</v>
      </c>
      <c r="J201">
        <f>+(I201*H201)*(1-33%)</f>
        <v>3.0628571428571425E-2</v>
      </c>
    </row>
    <row r="202" spans="1:10" x14ac:dyDescent="0.35">
      <c r="A202" s="5" t="s">
        <v>303</v>
      </c>
      <c r="B202" s="154">
        <f>+'Taxas EUA'!B93</f>
        <v>3.5419269912931761E-2</v>
      </c>
      <c r="F202" t="s">
        <v>46</v>
      </c>
      <c r="G202">
        <v>2500</v>
      </c>
      <c r="H202" s="37">
        <v>0.2</v>
      </c>
      <c r="I202" s="12">
        <f>+G202/G203</f>
        <v>0.7142857142857143</v>
      </c>
      <c r="J202">
        <f>+I202*H202</f>
        <v>0.14285714285714288</v>
      </c>
    </row>
    <row r="203" spans="1:10" x14ac:dyDescent="0.35">
      <c r="A203" s="5" t="s">
        <v>304</v>
      </c>
      <c r="B203" s="154">
        <v>2.5000000000000001E-2</v>
      </c>
      <c r="G203">
        <f>+G201+G202</f>
        <v>3500</v>
      </c>
    </row>
    <row r="204" spans="1:10" x14ac:dyDescent="0.35">
      <c r="A204" s="5" t="s">
        <v>305</v>
      </c>
      <c r="B204" s="153">
        <v>0.02</v>
      </c>
    </row>
    <row r="205" spans="1:10" ht="15" thickBot="1" x14ac:dyDescent="0.4">
      <c r="A205" s="155" t="s">
        <v>30</v>
      </c>
      <c r="B205" s="156">
        <f>+B200+B201*(B202-B200)+B203+B204</f>
        <v>7.8785159766780147E-2</v>
      </c>
      <c r="C205" s="12"/>
      <c r="J205" s="118">
        <f>+J201+J202</f>
        <v>0.1734857142857143</v>
      </c>
    </row>
    <row r="206" spans="1:10" x14ac:dyDescent="0.35">
      <c r="A206" s="198" t="s">
        <v>306</v>
      </c>
      <c r="B206" s="12">
        <f>+(1+B205)*(1+'Premissas Macro'!B11)-1</f>
        <v>0.11114871455978359</v>
      </c>
    </row>
    <row r="208" spans="1:10" x14ac:dyDescent="0.35">
      <c r="A208" s="3" t="s">
        <v>307</v>
      </c>
    </row>
    <row r="209" spans="1:4" ht="15" thickBot="1" x14ac:dyDescent="0.4"/>
    <row r="210" spans="1:4" ht="15" thickBot="1" x14ac:dyDescent="0.4">
      <c r="A210" s="164"/>
      <c r="B210" s="169" t="s">
        <v>34</v>
      </c>
      <c r="C210" s="169" t="s">
        <v>32</v>
      </c>
      <c r="D210" s="170" t="s">
        <v>35</v>
      </c>
    </row>
    <row r="211" spans="1:4" x14ac:dyDescent="0.35">
      <c r="A211" s="5" t="s">
        <v>308</v>
      </c>
      <c r="B211" s="124">
        <f>+D114</f>
        <v>18837475.927000001</v>
      </c>
      <c r="C211" s="157">
        <f>+B211/B213</f>
        <v>0.33093068061801562</v>
      </c>
      <c r="D211" s="7"/>
    </row>
    <row r="212" spans="1:4" x14ac:dyDescent="0.35">
      <c r="A212" s="5" t="s">
        <v>309</v>
      </c>
      <c r="B212" s="124">
        <f>+D99</f>
        <v>38085248.468999997</v>
      </c>
      <c r="C212" s="157">
        <f>+B212/B213</f>
        <v>0.66906931938198444</v>
      </c>
      <c r="D212" s="7"/>
    </row>
    <row r="213" spans="1:4" x14ac:dyDescent="0.35">
      <c r="A213" s="5" t="s">
        <v>310</v>
      </c>
      <c r="B213" s="124">
        <f>+B211+B212</f>
        <v>56922724.395999998</v>
      </c>
      <c r="C213" s="14"/>
      <c r="D213" s="7"/>
    </row>
    <row r="214" spans="1:4" x14ac:dyDescent="0.35">
      <c r="A214" s="5" t="s">
        <v>311</v>
      </c>
      <c r="B214" s="124"/>
      <c r="C214" s="14"/>
      <c r="D214" s="199">
        <f>+'Premissas Macro'!B15+'Premissas Macro'!B23</f>
        <v>9.5000000000000001E-2</v>
      </c>
    </row>
    <row r="215" spans="1:4" x14ac:dyDescent="0.35">
      <c r="A215" s="5" t="s">
        <v>312</v>
      </c>
      <c r="B215" s="124"/>
      <c r="C215" s="14"/>
      <c r="D215" s="158">
        <f>+B206</f>
        <v>0.11114871455978359</v>
      </c>
    </row>
    <row r="216" spans="1:4" ht="15" thickBot="1" x14ac:dyDescent="0.4">
      <c r="A216" s="155" t="s">
        <v>2</v>
      </c>
      <c r="B216" s="160"/>
      <c r="C216" s="160"/>
      <c r="D216" s="161">
        <f>+(C211*D215)+(C212*D214)*(1-33%)</f>
        <v>7.9368781937750044E-2</v>
      </c>
    </row>
    <row r="217" spans="1:4" x14ac:dyDescent="0.35">
      <c r="B217" s="118"/>
    </row>
    <row r="218" spans="1:4" x14ac:dyDescent="0.35">
      <c r="B218" s="118"/>
    </row>
    <row r="219" spans="1:4" x14ac:dyDescent="0.35">
      <c r="A219" s="3" t="s">
        <v>313</v>
      </c>
    </row>
    <row r="220" spans="1:4" ht="15" thickBot="1" x14ac:dyDescent="0.4">
      <c r="D220" s="13">
        <v>2021</v>
      </c>
    </row>
    <row r="221" spans="1:4" x14ac:dyDescent="0.35">
      <c r="A221" s="151" t="s">
        <v>314</v>
      </c>
      <c r="B221" s="162"/>
      <c r="C221" s="162"/>
      <c r="D221" s="163">
        <f>+NPV(D216,E192:I192)</f>
        <v>33531633.308350615</v>
      </c>
    </row>
    <row r="222" spans="1:4" x14ac:dyDescent="0.35">
      <c r="A222" s="5" t="s">
        <v>315</v>
      </c>
      <c r="B222" s="14"/>
      <c r="C222" s="14"/>
      <c r="D222" s="125">
        <f>+I192*(1+'Premissas Macro'!C24)/('Exercício 2 Resposta'!D216-'Premissas Macro'!D24)</f>
        <v>233602885.19219914</v>
      </c>
    </row>
    <row r="223" spans="1:4" x14ac:dyDescent="0.35">
      <c r="A223" s="5" t="s">
        <v>316</v>
      </c>
      <c r="B223" s="14"/>
      <c r="C223" s="14"/>
      <c r="D223" s="125">
        <f>+(D222/(1+D216)^5)</f>
        <v>159451620.48246124</v>
      </c>
    </row>
    <row r="224" spans="1:4" ht="15" thickBot="1" x14ac:dyDescent="0.4">
      <c r="A224" s="5"/>
      <c r="B224" s="14"/>
      <c r="C224" s="14"/>
      <c r="D224" s="7"/>
    </row>
    <row r="225" spans="1:4" ht="15" thickBot="1" x14ac:dyDescent="0.4">
      <c r="A225" s="164" t="s">
        <v>317</v>
      </c>
      <c r="B225" s="165"/>
      <c r="C225" s="165"/>
      <c r="D225" s="167">
        <f>+D221+D223</f>
        <v>192983253.79081187</v>
      </c>
    </row>
    <row r="226" spans="1:4" ht="15" thickBot="1" x14ac:dyDescent="0.4">
      <c r="A226" s="164" t="s">
        <v>318</v>
      </c>
      <c r="B226" s="165"/>
      <c r="C226" s="165"/>
      <c r="D226" s="166">
        <f>+D225/D46</f>
        <v>17.334334322398199</v>
      </c>
    </row>
    <row r="227" spans="1:4" ht="15" thickBot="1" x14ac:dyDescent="0.4">
      <c r="D227" s="20"/>
    </row>
    <row r="228" spans="1:4" ht="15" thickBot="1" x14ac:dyDescent="0.4">
      <c r="A228" s="164" t="s">
        <v>319</v>
      </c>
      <c r="B228" s="165"/>
      <c r="C228" s="165"/>
      <c r="D228" s="167">
        <f>+D99</f>
        <v>38085248.468999997</v>
      </c>
    </row>
    <row r="229" spans="1:4" ht="15" thickBot="1" x14ac:dyDescent="0.4"/>
    <row r="230" spans="1:4" ht="15" thickBot="1" x14ac:dyDescent="0.4">
      <c r="A230" s="164" t="s">
        <v>320</v>
      </c>
      <c r="B230" s="165"/>
      <c r="C230" s="165"/>
      <c r="D230" s="167">
        <f>+D225-D228</f>
        <v>154898005.32181185</v>
      </c>
    </row>
    <row r="231" spans="1:4" ht="15" thickBot="1" x14ac:dyDescent="0.4"/>
    <row r="232" spans="1:4" ht="15" thickBot="1" x14ac:dyDescent="0.4">
      <c r="A232" s="164" t="s">
        <v>321</v>
      </c>
      <c r="B232" s="165"/>
      <c r="C232" s="165"/>
      <c r="D232" s="168">
        <f>+D230/D46</f>
        <v>13.913403144458435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539F-9F40-4219-8B06-301903B8CC9C}">
  <sheetPr codeName="Sheet12"/>
  <dimension ref="B1:N59"/>
  <sheetViews>
    <sheetView showGridLines="0" zoomScale="80" zoomScaleNormal="80" zoomScalePageLayoutView="80" workbookViewId="0">
      <selection activeCell="C7" sqref="C7"/>
    </sheetView>
  </sheetViews>
  <sheetFormatPr defaultColWidth="8.81640625" defaultRowHeight="14.5" x14ac:dyDescent="0.35"/>
  <cols>
    <col min="1" max="1" width="3.453125" customWidth="1"/>
    <col min="2" max="2" width="4.6328125" customWidth="1"/>
    <col min="3" max="4" width="9.36328125" customWidth="1"/>
    <col min="5" max="5" width="2.6328125" customWidth="1"/>
    <col min="6" max="12" width="14.81640625" customWidth="1"/>
    <col min="13" max="14" width="6.36328125" customWidth="1"/>
    <col min="16" max="16" width="8.81640625" customWidth="1"/>
  </cols>
  <sheetData>
    <row r="1" spans="2:14" ht="27" customHeight="1" x14ac:dyDescent="0.35"/>
    <row r="2" spans="2:14" ht="15" thickBot="1" x14ac:dyDescent="0.4"/>
    <row r="3" spans="2:14" ht="15" thickBot="1" x14ac:dyDescent="0.4"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14"/>
    </row>
    <row r="4" spans="2:14" ht="14.4" customHeight="1" thickTop="1" thickBot="1" x14ac:dyDescent="0.4">
      <c r="B4" s="217"/>
      <c r="C4" s="230" t="s">
        <v>98</v>
      </c>
      <c r="D4" s="231"/>
      <c r="E4" s="223"/>
      <c r="F4" s="223">
        <f>+F5+F6</f>
        <v>5</v>
      </c>
      <c r="G4" s="223"/>
      <c r="H4" s="223"/>
      <c r="I4" s="223"/>
      <c r="J4" s="223"/>
      <c r="K4" s="223"/>
      <c r="L4" s="223"/>
      <c r="M4" s="223"/>
      <c r="N4" s="7"/>
    </row>
    <row r="5" spans="2:14" ht="14.4" customHeight="1" thickTop="1" thickBot="1" x14ac:dyDescent="0.4">
      <c r="B5" s="217"/>
      <c r="C5" s="230" t="s">
        <v>97</v>
      </c>
      <c r="D5" s="231"/>
      <c r="E5" s="223"/>
      <c r="F5" s="223">
        <v>2</v>
      </c>
      <c r="G5" s="223"/>
      <c r="H5" s="223"/>
      <c r="I5" s="223"/>
      <c r="J5" s="223"/>
      <c r="K5" s="223"/>
      <c r="L5" s="223"/>
      <c r="M5" s="223"/>
      <c r="N5" s="7"/>
    </row>
    <row r="6" spans="2:14" ht="15" customHeight="1" thickTop="1" thickBot="1" x14ac:dyDescent="0.4">
      <c r="B6" s="217"/>
      <c r="C6" s="230" t="s">
        <v>341</v>
      </c>
      <c r="D6" s="231"/>
      <c r="E6" s="223"/>
      <c r="F6" s="223">
        <v>3</v>
      </c>
      <c r="G6" s="223"/>
      <c r="H6" s="223"/>
      <c r="I6" s="223"/>
      <c r="J6" s="223"/>
      <c r="K6" s="223"/>
      <c r="L6" s="223"/>
      <c r="M6" s="223"/>
      <c r="N6" s="7"/>
    </row>
    <row r="7" spans="2:14" ht="15.5" thickTop="1" thickBot="1" x14ac:dyDescent="0.4">
      <c r="B7" s="217"/>
      <c r="C7" s="14"/>
      <c r="D7" s="14"/>
      <c r="E7" s="223"/>
      <c r="F7" s="223"/>
      <c r="G7" s="223"/>
      <c r="H7" s="223"/>
      <c r="I7" s="223"/>
      <c r="J7" s="223"/>
      <c r="K7" s="223"/>
      <c r="L7" s="223"/>
      <c r="M7" s="223"/>
      <c r="N7" s="7"/>
    </row>
    <row r="8" spans="2:14" ht="15" customHeight="1" thickTop="1" thickBot="1" x14ac:dyDescent="0.4">
      <c r="B8" s="217"/>
      <c r="C8" s="230" t="s">
        <v>94</v>
      </c>
      <c r="D8" s="231"/>
      <c r="E8" s="223"/>
      <c r="F8" s="224">
        <v>0.15</v>
      </c>
      <c r="G8" s="223"/>
      <c r="H8" s="223"/>
      <c r="I8" s="223"/>
      <c r="J8" s="223"/>
      <c r="K8" s="223"/>
      <c r="L8" s="223"/>
      <c r="M8" s="223"/>
      <c r="N8" s="7"/>
    </row>
    <row r="9" spans="2:14" ht="15" thickTop="1" x14ac:dyDescent="0.35">
      <c r="B9" s="217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7"/>
    </row>
    <row r="10" spans="2:14" x14ac:dyDescent="0.35">
      <c r="B10" s="217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7"/>
    </row>
    <row r="11" spans="2:14" x14ac:dyDescent="0.35">
      <c r="B11" s="218"/>
      <c r="C11" s="223"/>
      <c r="D11" s="223"/>
      <c r="E11" s="223"/>
      <c r="F11" s="225">
        <v>1</v>
      </c>
      <c r="G11" s="225">
        <f>+F11+1</f>
        <v>2</v>
      </c>
      <c r="H11" s="225">
        <f t="shared" ref="H11:L11" si="0">+G11+1</f>
        <v>3</v>
      </c>
      <c r="I11" s="225">
        <f t="shared" si="0"/>
        <v>4</v>
      </c>
      <c r="J11" s="225">
        <f t="shared" si="0"/>
        <v>5</v>
      </c>
      <c r="K11" s="225">
        <f t="shared" si="0"/>
        <v>6</v>
      </c>
      <c r="L11" s="225">
        <f t="shared" si="0"/>
        <v>7</v>
      </c>
      <c r="M11" s="223"/>
      <c r="N11" s="7"/>
    </row>
    <row r="12" spans="2:14" x14ac:dyDescent="0.35">
      <c r="B12" s="217"/>
      <c r="C12" s="223"/>
      <c r="D12" s="223"/>
      <c r="E12" s="223"/>
      <c r="F12" s="226">
        <v>2009</v>
      </c>
      <c r="G12" s="226">
        <v>2010</v>
      </c>
      <c r="H12" s="226">
        <v>2011</v>
      </c>
      <c r="I12" s="226">
        <v>2012</v>
      </c>
      <c r="J12" s="226">
        <v>2013</v>
      </c>
      <c r="K12" s="226">
        <v>2014</v>
      </c>
      <c r="L12" s="226">
        <v>2015</v>
      </c>
      <c r="M12" s="223"/>
      <c r="N12" s="7"/>
    </row>
    <row r="13" spans="2:14" x14ac:dyDescent="0.35">
      <c r="B13" s="217"/>
      <c r="C13" s="223"/>
      <c r="D13" s="223"/>
      <c r="E13" s="223"/>
      <c r="F13" s="27">
        <f>+'Exercício 2'!C179</f>
        <v>0</v>
      </c>
      <c r="G13" s="27">
        <f>+'Exercício 2'!D179</f>
        <v>0</v>
      </c>
      <c r="H13" s="27">
        <f>+'Exercício 2'!E179</f>
        <v>4000000</v>
      </c>
      <c r="I13" s="27">
        <f>+'Exercício 2'!F179</f>
        <v>4000000</v>
      </c>
      <c r="J13" s="27">
        <f>+'Exercício 2'!G179</f>
        <v>4000000</v>
      </c>
      <c r="K13" s="27">
        <f>+'Exercício 2'!H179</f>
        <v>4000000</v>
      </c>
      <c r="L13" s="27">
        <f>+'Exercício 2'!I179</f>
        <v>4000000</v>
      </c>
      <c r="M13" s="223"/>
      <c r="N13" s="7"/>
    </row>
    <row r="14" spans="2:14" x14ac:dyDescent="0.35">
      <c r="B14" s="217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7"/>
    </row>
    <row r="15" spans="2:14" x14ac:dyDescent="0.35">
      <c r="B15" s="217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7"/>
    </row>
    <row r="16" spans="2:14" x14ac:dyDescent="0.35">
      <c r="B16" s="217"/>
      <c r="C16" s="229" t="s">
        <v>48</v>
      </c>
      <c r="D16" s="229"/>
      <c r="E16" s="223"/>
      <c r="F16" s="223"/>
      <c r="G16" s="223"/>
      <c r="H16" s="223"/>
      <c r="I16" s="223"/>
      <c r="J16" s="223"/>
      <c r="K16" s="223"/>
      <c r="L16" s="223"/>
      <c r="M16" s="223"/>
      <c r="N16" s="7"/>
    </row>
    <row r="17" spans="2:14" x14ac:dyDescent="0.35">
      <c r="B17" s="217"/>
      <c r="C17" s="223"/>
      <c r="D17" s="223"/>
      <c r="E17" s="223"/>
      <c r="F17" s="225">
        <v>1</v>
      </c>
      <c r="G17" s="225">
        <f>+F17+1</f>
        <v>2</v>
      </c>
      <c r="H17" s="225">
        <f t="shared" ref="H17:L17" si="1">+G17+1</f>
        <v>3</v>
      </c>
      <c r="I17" s="225">
        <f t="shared" si="1"/>
        <v>4</v>
      </c>
      <c r="J17" s="225">
        <f t="shared" si="1"/>
        <v>5</v>
      </c>
      <c r="K17" s="225">
        <f t="shared" si="1"/>
        <v>6</v>
      </c>
      <c r="L17" s="225">
        <f t="shared" si="1"/>
        <v>7</v>
      </c>
      <c r="M17" s="223"/>
      <c r="N17" s="7"/>
    </row>
    <row r="18" spans="2:14" x14ac:dyDescent="0.35">
      <c r="B18" s="217"/>
      <c r="C18" s="223"/>
      <c r="D18" s="223"/>
      <c r="E18" s="223"/>
      <c r="F18" s="226">
        <v>2009</v>
      </c>
      <c r="G18" s="226">
        <v>2010</v>
      </c>
      <c r="H18" s="226">
        <v>2011</v>
      </c>
      <c r="I18" s="226">
        <v>2012</v>
      </c>
      <c r="J18" s="226">
        <v>2013</v>
      </c>
      <c r="K18" s="226">
        <v>2014</v>
      </c>
      <c r="L18" s="226">
        <v>2015</v>
      </c>
      <c r="M18" s="223"/>
      <c r="N18" s="7"/>
    </row>
    <row r="19" spans="2:14" x14ac:dyDescent="0.35">
      <c r="B19" s="217"/>
      <c r="C19" s="225">
        <v>1</v>
      </c>
      <c r="D19" s="226">
        <v>2009</v>
      </c>
      <c r="E19" s="14"/>
      <c r="F19" s="27">
        <f>IF($C19&gt;F$17,0,IF($C19=F$17,HLOOKUP(F$17,$F$11:$L$13,3,FALSE),E19-F34))</f>
        <v>0</v>
      </c>
      <c r="G19" s="27">
        <f t="shared" ref="F19:L25" si="2">IF($C19&gt;G$17,0,IF($C19=G$17,HLOOKUP(G$17,$F$11:$L$13,3,FALSE),F19-G34))</f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23"/>
      <c r="N19" s="7"/>
    </row>
    <row r="20" spans="2:14" x14ac:dyDescent="0.35">
      <c r="B20" s="217"/>
      <c r="C20" s="225">
        <f t="shared" ref="C20:C25" si="3">+C19+1</f>
        <v>2</v>
      </c>
      <c r="D20" s="226">
        <v>2010</v>
      </c>
      <c r="E20" s="14"/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27">
        <f t="shared" si="2"/>
        <v>0</v>
      </c>
      <c r="L20" s="27">
        <f t="shared" si="2"/>
        <v>0</v>
      </c>
      <c r="M20" s="223"/>
      <c r="N20" s="7"/>
    </row>
    <row r="21" spans="2:14" x14ac:dyDescent="0.35">
      <c r="B21" s="217"/>
      <c r="C21" s="225">
        <f t="shared" si="3"/>
        <v>3</v>
      </c>
      <c r="D21" s="226">
        <v>2011</v>
      </c>
      <c r="E21" s="14"/>
      <c r="F21" s="27">
        <f t="shared" si="2"/>
        <v>0</v>
      </c>
      <c r="G21" s="27">
        <f t="shared" si="2"/>
        <v>0</v>
      </c>
      <c r="H21" s="27">
        <f t="shared" si="2"/>
        <v>4000000</v>
      </c>
      <c r="I21" s="27">
        <f t="shared" si="2"/>
        <v>4000000</v>
      </c>
      <c r="J21" s="27">
        <f t="shared" si="2"/>
        <v>4000000</v>
      </c>
      <c r="K21" s="27">
        <f t="shared" si="2"/>
        <v>2666666.666666667</v>
      </c>
      <c r="L21" s="27">
        <f t="shared" si="2"/>
        <v>1333333.3333333337</v>
      </c>
      <c r="M21" s="223"/>
      <c r="N21" s="7"/>
    </row>
    <row r="22" spans="2:14" x14ac:dyDescent="0.35">
      <c r="B22" s="217"/>
      <c r="C22" s="225">
        <f t="shared" si="3"/>
        <v>4</v>
      </c>
      <c r="D22" s="226">
        <v>2012</v>
      </c>
      <c r="E22" s="14"/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4000000</v>
      </c>
      <c r="J22" s="27">
        <f t="shared" si="2"/>
        <v>4000000</v>
      </c>
      <c r="K22" s="27">
        <f t="shared" si="2"/>
        <v>4000000</v>
      </c>
      <c r="L22" s="27">
        <f t="shared" si="2"/>
        <v>2666666.666666667</v>
      </c>
      <c r="M22" s="223"/>
      <c r="N22" s="7"/>
    </row>
    <row r="23" spans="2:14" x14ac:dyDescent="0.35">
      <c r="B23" s="217"/>
      <c r="C23" s="225">
        <f t="shared" si="3"/>
        <v>5</v>
      </c>
      <c r="D23" s="226">
        <v>2013</v>
      </c>
      <c r="E23" s="14"/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4000000</v>
      </c>
      <c r="K23" s="27">
        <f t="shared" si="2"/>
        <v>4000000</v>
      </c>
      <c r="L23" s="27">
        <f t="shared" si="2"/>
        <v>4000000</v>
      </c>
      <c r="M23" s="223"/>
      <c r="N23" s="7"/>
    </row>
    <row r="24" spans="2:14" x14ac:dyDescent="0.35">
      <c r="B24" s="217"/>
      <c r="C24" s="225">
        <f t="shared" si="3"/>
        <v>6</v>
      </c>
      <c r="D24" s="226">
        <v>2014</v>
      </c>
      <c r="E24" s="14"/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f t="shared" si="2"/>
        <v>0</v>
      </c>
      <c r="K24" s="27">
        <f t="shared" si="2"/>
        <v>4000000</v>
      </c>
      <c r="L24" s="27">
        <f t="shared" si="2"/>
        <v>4000000</v>
      </c>
      <c r="M24" s="223"/>
      <c r="N24" s="7"/>
    </row>
    <row r="25" spans="2:14" x14ac:dyDescent="0.35">
      <c r="B25" s="217"/>
      <c r="C25" s="225">
        <f t="shared" si="3"/>
        <v>7</v>
      </c>
      <c r="D25" s="226">
        <v>2015</v>
      </c>
      <c r="E25" s="14"/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4000000</v>
      </c>
      <c r="M25" s="223"/>
      <c r="N25" s="7"/>
    </row>
    <row r="26" spans="2:14" x14ac:dyDescent="0.35">
      <c r="B26" s="217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7"/>
    </row>
    <row r="27" spans="2:14" x14ac:dyDescent="0.35">
      <c r="B27" s="217"/>
      <c r="C27" s="223"/>
      <c r="D27" s="227" t="s">
        <v>49</v>
      </c>
      <c r="E27" s="223"/>
      <c r="F27" s="28">
        <f>+SUM(F19:F25)</f>
        <v>0</v>
      </c>
      <c r="G27" s="28">
        <f t="shared" ref="G27:L27" si="4">+SUM(G19:G25)</f>
        <v>0</v>
      </c>
      <c r="H27" s="28">
        <f t="shared" si="4"/>
        <v>4000000</v>
      </c>
      <c r="I27" s="28">
        <f t="shared" si="4"/>
        <v>8000000</v>
      </c>
      <c r="J27" s="28">
        <f t="shared" si="4"/>
        <v>12000000</v>
      </c>
      <c r="K27" s="28">
        <f t="shared" si="4"/>
        <v>14666666.666666668</v>
      </c>
      <c r="L27" s="28">
        <f t="shared" si="4"/>
        <v>16000000</v>
      </c>
      <c r="M27" s="223"/>
      <c r="N27" s="7"/>
    </row>
    <row r="28" spans="2:14" x14ac:dyDescent="0.35">
      <c r="B28" s="217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7"/>
    </row>
    <row r="29" spans="2:14" x14ac:dyDescent="0.35">
      <c r="B29" s="217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7"/>
    </row>
    <row r="30" spans="2:14" x14ac:dyDescent="0.35">
      <c r="B30" s="217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7"/>
    </row>
    <row r="31" spans="2:14" x14ac:dyDescent="0.35">
      <c r="B31" s="217"/>
      <c r="C31" s="229" t="s">
        <v>95</v>
      </c>
      <c r="D31" s="229"/>
      <c r="E31" s="223"/>
      <c r="F31" s="223"/>
      <c r="G31" s="223"/>
      <c r="H31" s="223"/>
      <c r="I31" s="223"/>
      <c r="J31" s="223"/>
      <c r="K31" s="223"/>
      <c r="L31" s="223"/>
      <c r="M31" s="223"/>
      <c r="N31" s="7"/>
    </row>
    <row r="32" spans="2:14" x14ac:dyDescent="0.35">
      <c r="B32" s="217"/>
      <c r="C32" s="223"/>
      <c r="D32" s="223"/>
      <c r="E32" s="223"/>
      <c r="F32" s="225">
        <v>1</v>
      </c>
      <c r="G32" s="225">
        <f>+F32+1</f>
        <v>2</v>
      </c>
      <c r="H32" s="225">
        <f t="shared" ref="H32:L32" si="5">+G32+1</f>
        <v>3</v>
      </c>
      <c r="I32" s="225">
        <f t="shared" si="5"/>
        <v>4</v>
      </c>
      <c r="J32" s="225">
        <f t="shared" si="5"/>
        <v>5</v>
      </c>
      <c r="K32" s="225">
        <f t="shared" si="5"/>
        <v>6</v>
      </c>
      <c r="L32" s="225">
        <f t="shared" si="5"/>
        <v>7</v>
      </c>
      <c r="M32" s="223"/>
      <c r="N32" s="7"/>
    </row>
    <row r="33" spans="2:14" x14ac:dyDescent="0.35">
      <c r="B33" s="217"/>
      <c r="C33" s="223"/>
      <c r="D33" s="223"/>
      <c r="E33" s="223"/>
      <c r="F33" s="226">
        <v>2009</v>
      </c>
      <c r="G33" s="226">
        <v>2010</v>
      </c>
      <c r="H33" s="226">
        <v>2011</v>
      </c>
      <c r="I33" s="226">
        <v>2012</v>
      </c>
      <c r="J33" s="226">
        <v>2013</v>
      </c>
      <c r="K33" s="226">
        <v>2014</v>
      </c>
      <c r="L33" s="226">
        <v>2015</v>
      </c>
      <c r="M33" s="223"/>
      <c r="N33" s="7"/>
    </row>
    <row r="34" spans="2:14" x14ac:dyDescent="0.35">
      <c r="B34" s="217"/>
      <c r="C34" s="225">
        <v>1</v>
      </c>
      <c r="D34" s="226">
        <v>2009</v>
      </c>
      <c r="E34" s="14"/>
      <c r="F34" s="27">
        <f t="shared" ref="F34:L40" si="6">IF(OR($C34&gt;F$32,$C34+$F$5&gt;=F$32,$C34+$F$4&lt;F$32),0,HLOOKUP($C34,$F$11:$L$13,3,FALSE)/$F$6)</f>
        <v>0</v>
      </c>
      <c r="G34" s="27">
        <f t="shared" si="6"/>
        <v>0</v>
      </c>
      <c r="H34" s="27">
        <f t="shared" si="6"/>
        <v>0</v>
      </c>
      <c r="I34" s="27">
        <f t="shared" si="6"/>
        <v>0</v>
      </c>
      <c r="J34" s="27">
        <f t="shared" si="6"/>
        <v>0</v>
      </c>
      <c r="K34" s="27">
        <f t="shared" si="6"/>
        <v>0</v>
      </c>
      <c r="L34" s="27">
        <f t="shared" si="6"/>
        <v>0</v>
      </c>
      <c r="M34" s="223"/>
      <c r="N34" s="7"/>
    </row>
    <row r="35" spans="2:14" x14ac:dyDescent="0.35">
      <c r="B35" s="217"/>
      <c r="C35" s="225">
        <f t="shared" ref="C35:C40" si="7">+C34+1</f>
        <v>2</v>
      </c>
      <c r="D35" s="226">
        <v>2010</v>
      </c>
      <c r="E35" s="14"/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23"/>
      <c r="N35" s="7"/>
    </row>
    <row r="36" spans="2:14" x14ac:dyDescent="0.35">
      <c r="B36" s="217"/>
      <c r="C36" s="225">
        <f t="shared" si="7"/>
        <v>3</v>
      </c>
      <c r="D36" s="226">
        <v>2011</v>
      </c>
      <c r="E36" s="14"/>
      <c r="F36" s="27">
        <f t="shared" si="6"/>
        <v>0</v>
      </c>
      <c r="G36" s="27">
        <f t="shared" si="6"/>
        <v>0</v>
      </c>
      <c r="H36" s="27">
        <f t="shared" si="6"/>
        <v>0</v>
      </c>
      <c r="I36" s="27">
        <f t="shared" si="6"/>
        <v>0</v>
      </c>
      <c r="J36" s="27">
        <f t="shared" si="6"/>
        <v>0</v>
      </c>
      <c r="K36" s="27">
        <f t="shared" si="6"/>
        <v>1333333.3333333333</v>
      </c>
      <c r="L36" s="27">
        <f t="shared" si="6"/>
        <v>1333333.3333333333</v>
      </c>
      <c r="M36" s="223"/>
      <c r="N36" s="7"/>
    </row>
    <row r="37" spans="2:14" x14ac:dyDescent="0.35">
      <c r="B37" s="217"/>
      <c r="C37" s="225">
        <f t="shared" si="7"/>
        <v>4</v>
      </c>
      <c r="D37" s="226">
        <v>2012</v>
      </c>
      <c r="E37" s="14"/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1333333.3333333333</v>
      </c>
      <c r="M37" s="223"/>
      <c r="N37" s="7"/>
    </row>
    <row r="38" spans="2:14" x14ac:dyDescent="0.35">
      <c r="B38" s="217"/>
      <c r="C38" s="225">
        <f t="shared" si="7"/>
        <v>5</v>
      </c>
      <c r="D38" s="226">
        <v>2013</v>
      </c>
      <c r="E38" s="14"/>
      <c r="F38" s="27">
        <f t="shared" si="6"/>
        <v>0</v>
      </c>
      <c r="G38" s="27">
        <f t="shared" si="6"/>
        <v>0</v>
      </c>
      <c r="H38" s="27">
        <f t="shared" si="6"/>
        <v>0</v>
      </c>
      <c r="I38" s="27">
        <f t="shared" si="6"/>
        <v>0</v>
      </c>
      <c r="J38" s="27">
        <f t="shared" si="6"/>
        <v>0</v>
      </c>
      <c r="K38" s="27">
        <f t="shared" si="6"/>
        <v>0</v>
      </c>
      <c r="L38" s="27">
        <f t="shared" si="6"/>
        <v>0</v>
      </c>
      <c r="M38" s="223"/>
      <c r="N38" s="7"/>
    </row>
    <row r="39" spans="2:14" x14ac:dyDescent="0.35">
      <c r="B39" s="217"/>
      <c r="C39" s="225">
        <f t="shared" si="7"/>
        <v>6</v>
      </c>
      <c r="D39" s="226">
        <v>2014</v>
      </c>
      <c r="E39" s="14"/>
      <c r="F39" s="27">
        <f t="shared" si="6"/>
        <v>0</v>
      </c>
      <c r="G39" s="27">
        <f t="shared" si="6"/>
        <v>0</v>
      </c>
      <c r="H39" s="27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223"/>
      <c r="N39" s="7"/>
    </row>
    <row r="40" spans="2:14" x14ac:dyDescent="0.35">
      <c r="B40" s="217"/>
      <c r="C40" s="225">
        <f t="shared" si="7"/>
        <v>7</v>
      </c>
      <c r="D40" s="226">
        <v>2015</v>
      </c>
      <c r="E40" s="14"/>
      <c r="F40" s="27">
        <f t="shared" si="6"/>
        <v>0</v>
      </c>
      <c r="G40" s="27">
        <f t="shared" si="6"/>
        <v>0</v>
      </c>
      <c r="H40" s="27">
        <f t="shared" si="6"/>
        <v>0</v>
      </c>
      <c r="I40" s="27">
        <f t="shared" si="6"/>
        <v>0</v>
      </c>
      <c r="J40" s="27">
        <f t="shared" si="6"/>
        <v>0</v>
      </c>
      <c r="K40" s="27">
        <f t="shared" si="6"/>
        <v>0</v>
      </c>
      <c r="L40" s="27">
        <f t="shared" si="6"/>
        <v>0</v>
      </c>
      <c r="M40" s="223"/>
      <c r="N40" s="7"/>
    </row>
    <row r="41" spans="2:14" x14ac:dyDescent="0.35">
      <c r="B41" s="217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7"/>
    </row>
    <row r="42" spans="2:14" x14ac:dyDescent="0.35">
      <c r="B42" s="217"/>
      <c r="C42" s="223"/>
      <c r="D42" s="227" t="s">
        <v>49</v>
      </c>
      <c r="E42" s="223"/>
      <c r="F42" s="28">
        <f t="shared" ref="F42:L42" si="8">+SUM(F34:F40)</f>
        <v>0</v>
      </c>
      <c r="G42" s="28">
        <f t="shared" si="8"/>
        <v>0</v>
      </c>
      <c r="H42" s="28">
        <f t="shared" si="8"/>
        <v>0</v>
      </c>
      <c r="I42" s="28">
        <f t="shared" si="8"/>
        <v>0</v>
      </c>
      <c r="J42" s="28">
        <f t="shared" si="8"/>
        <v>0</v>
      </c>
      <c r="K42" s="28">
        <f t="shared" si="8"/>
        <v>1333333.3333333333</v>
      </c>
      <c r="L42" s="28">
        <f t="shared" si="8"/>
        <v>2666666.6666666665</v>
      </c>
      <c r="M42" s="223"/>
      <c r="N42" s="7"/>
    </row>
    <row r="43" spans="2:14" x14ac:dyDescent="0.35">
      <c r="B43" s="217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7"/>
    </row>
    <row r="44" spans="2:14" x14ac:dyDescent="0.35">
      <c r="B44" s="217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7"/>
    </row>
    <row r="45" spans="2:14" x14ac:dyDescent="0.35">
      <c r="B45" s="217"/>
      <c r="C45" s="229" t="s">
        <v>96</v>
      </c>
      <c r="D45" s="229"/>
      <c r="E45" s="223"/>
      <c r="F45" s="223"/>
      <c r="G45" s="223"/>
      <c r="H45" s="223"/>
      <c r="I45" s="223"/>
      <c r="J45" s="223"/>
      <c r="K45" s="223"/>
      <c r="L45" s="223"/>
      <c r="M45" s="223"/>
      <c r="N45" s="7"/>
    </row>
    <row r="46" spans="2:14" x14ac:dyDescent="0.35">
      <c r="B46" s="217"/>
      <c r="C46" s="223"/>
      <c r="D46" s="223"/>
      <c r="E46" s="223"/>
      <c r="F46" s="225">
        <v>1</v>
      </c>
      <c r="G46" s="225">
        <f>+F46+1</f>
        <v>2</v>
      </c>
      <c r="H46" s="225">
        <f t="shared" ref="H46:L46" si="9">+G46+1</f>
        <v>3</v>
      </c>
      <c r="I46" s="225">
        <f t="shared" si="9"/>
        <v>4</v>
      </c>
      <c r="J46" s="225">
        <f t="shared" si="9"/>
        <v>5</v>
      </c>
      <c r="K46" s="225">
        <f t="shared" si="9"/>
        <v>6</v>
      </c>
      <c r="L46" s="225">
        <f t="shared" si="9"/>
        <v>7</v>
      </c>
      <c r="M46" s="223"/>
      <c r="N46" s="7"/>
    </row>
    <row r="47" spans="2:14" x14ac:dyDescent="0.35">
      <c r="B47" s="217"/>
      <c r="C47" s="223"/>
      <c r="D47" s="223"/>
      <c r="E47" s="223"/>
      <c r="F47" s="226">
        <v>2009</v>
      </c>
      <c r="G47" s="226">
        <v>2010</v>
      </c>
      <c r="H47" s="226">
        <v>2011</v>
      </c>
      <c r="I47" s="226">
        <v>2012</v>
      </c>
      <c r="J47" s="226">
        <v>2013</v>
      </c>
      <c r="K47" s="226">
        <v>2014</v>
      </c>
      <c r="L47" s="226">
        <v>2015</v>
      </c>
      <c r="M47" s="223"/>
      <c r="N47" s="7"/>
    </row>
    <row r="48" spans="2:14" x14ac:dyDescent="0.35">
      <c r="B48" s="217"/>
      <c r="C48" s="225">
        <v>1</v>
      </c>
      <c r="D48" s="226">
        <v>2009</v>
      </c>
      <c r="E48" s="14"/>
      <c r="F48" s="14"/>
      <c r="G48" s="27">
        <f t="shared" ref="G48:L54" si="10">F19*$F$8</f>
        <v>0</v>
      </c>
      <c r="H48" s="27">
        <f t="shared" si="10"/>
        <v>0</v>
      </c>
      <c r="I48" s="27">
        <f t="shared" si="10"/>
        <v>0</v>
      </c>
      <c r="J48" s="27">
        <f t="shared" si="10"/>
        <v>0</v>
      </c>
      <c r="K48" s="27">
        <f t="shared" si="10"/>
        <v>0</v>
      </c>
      <c r="L48" s="27">
        <f t="shared" si="10"/>
        <v>0</v>
      </c>
      <c r="M48" s="223"/>
      <c r="N48" s="7"/>
    </row>
    <row r="49" spans="2:14" x14ac:dyDescent="0.35">
      <c r="B49" s="217"/>
      <c r="C49" s="225">
        <f t="shared" ref="C49:C54" si="11">+C48+1</f>
        <v>2</v>
      </c>
      <c r="D49" s="226">
        <v>2010</v>
      </c>
      <c r="E49" s="14"/>
      <c r="F49" s="14"/>
      <c r="G49" s="27">
        <f t="shared" si="10"/>
        <v>0</v>
      </c>
      <c r="H49" s="27">
        <f t="shared" si="10"/>
        <v>0</v>
      </c>
      <c r="I49" s="27">
        <f t="shared" si="10"/>
        <v>0</v>
      </c>
      <c r="J49" s="27">
        <f t="shared" si="10"/>
        <v>0</v>
      </c>
      <c r="K49" s="27">
        <f t="shared" si="10"/>
        <v>0</v>
      </c>
      <c r="L49" s="27">
        <f t="shared" si="10"/>
        <v>0</v>
      </c>
      <c r="M49" s="223"/>
      <c r="N49" s="7"/>
    </row>
    <row r="50" spans="2:14" x14ac:dyDescent="0.35">
      <c r="B50" s="217"/>
      <c r="C50" s="225">
        <f t="shared" si="11"/>
        <v>3</v>
      </c>
      <c r="D50" s="226">
        <v>2011</v>
      </c>
      <c r="E50" s="14"/>
      <c r="F50" s="14"/>
      <c r="G50" s="27">
        <f t="shared" si="10"/>
        <v>0</v>
      </c>
      <c r="H50" s="27">
        <f t="shared" si="10"/>
        <v>0</v>
      </c>
      <c r="I50" s="27">
        <f t="shared" si="10"/>
        <v>600000</v>
      </c>
      <c r="J50" s="27">
        <f t="shared" si="10"/>
        <v>600000</v>
      </c>
      <c r="K50" s="27">
        <f t="shared" si="10"/>
        <v>600000</v>
      </c>
      <c r="L50" s="27">
        <f t="shared" si="10"/>
        <v>400000.00000000006</v>
      </c>
      <c r="M50" s="223"/>
      <c r="N50" s="7"/>
    </row>
    <row r="51" spans="2:14" x14ac:dyDescent="0.35">
      <c r="B51" s="217"/>
      <c r="C51" s="225">
        <f t="shared" si="11"/>
        <v>4</v>
      </c>
      <c r="D51" s="226">
        <v>2012</v>
      </c>
      <c r="E51" s="14"/>
      <c r="F51" s="14"/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600000</v>
      </c>
      <c r="K51" s="27">
        <f t="shared" si="10"/>
        <v>600000</v>
      </c>
      <c r="L51" s="27">
        <f t="shared" si="10"/>
        <v>600000</v>
      </c>
      <c r="M51" s="223"/>
      <c r="N51" s="7"/>
    </row>
    <row r="52" spans="2:14" x14ac:dyDescent="0.35">
      <c r="B52" s="217"/>
      <c r="C52" s="225">
        <f t="shared" si="11"/>
        <v>5</v>
      </c>
      <c r="D52" s="226">
        <v>2013</v>
      </c>
      <c r="E52" s="14"/>
      <c r="F52" s="14"/>
      <c r="G52" s="27">
        <f t="shared" si="10"/>
        <v>0</v>
      </c>
      <c r="H52" s="27">
        <f t="shared" si="10"/>
        <v>0</v>
      </c>
      <c r="I52" s="27">
        <f t="shared" si="10"/>
        <v>0</v>
      </c>
      <c r="J52" s="27">
        <f t="shared" si="10"/>
        <v>0</v>
      </c>
      <c r="K52" s="27">
        <f t="shared" si="10"/>
        <v>600000</v>
      </c>
      <c r="L52" s="27">
        <f t="shared" si="10"/>
        <v>600000</v>
      </c>
      <c r="M52" s="223"/>
      <c r="N52" s="7"/>
    </row>
    <row r="53" spans="2:14" x14ac:dyDescent="0.35">
      <c r="B53" s="217"/>
      <c r="C53" s="225">
        <f t="shared" si="11"/>
        <v>6</v>
      </c>
      <c r="D53" s="226">
        <v>2014</v>
      </c>
      <c r="E53" s="14"/>
      <c r="F53" s="14"/>
      <c r="G53" s="27">
        <f t="shared" si="10"/>
        <v>0</v>
      </c>
      <c r="H53" s="27">
        <f t="shared" si="10"/>
        <v>0</v>
      </c>
      <c r="I53" s="27">
        <f t="shared" si="10"/>
        <v>0</v>
      </c>
      <c r="J53" s="27">
        <f t="shared" si="10"/>
        <v>0</v>
      </c>
      <c r="K53" s="27">
        <f t="shared" si="10"/>
        <v>0</v>
      </c>
      <c r="L53" s="27">
        <f t="shared" si="10"/>
        <v>600000</v>
      </c>
      <c r="M53" s="223"/>
      <c r="N53" s="7"/>
    </row>
    <row r="54" spans="2:14" x14ac:dyDescent="0.35">
      <c r="B54" s="217"/>
      <c r="C54" s="225">
        <f t="shared" si="11"/>
        <v>7</v>
      </c>
      <c r="D54" s="226">
        <v>2015</v>
      </c>
      <c r="E54" s="14"/>
      <c r="F54" s="14"/>
      <c r="G54" s="27">
        <f t="shared" si="10"/>
        <v>0</v>
      </c>
      <c r="H54" s="27">
        <f t="shared" si="10"/>
        <v>0</v>
      </c>
      <c r="I54" s="27">
        <f t="shared" si="10"/>
        <v>0</v>
      </c>
      <c r="J54" s="27">
        <f t="shared" si="10"/>
        <v>0</v>
      </c>
      <c r="K54" s="27">
        <f t="shared" si="10"/>
        <v>0</v>
      </c>
      <c r="L54" s="27">
        <f t="shared" si="10"/>
        <v>0</v>
      </c>
      <c r="M54" s="223"/>
      <c r="N54" s="7"/>
    </row>
    <row r="55" spans="2:14" x14ac:dyDescent="0.35">
      <c r="B55" s="217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7"/>
    </row>
    <row r="56" spans="2:14" x14ac:dyDescent="0.35">
      <c r="B56" s="217"/>
      <c r="C56" s="223"/>
      <c r="D56" s="227" t="s">
        <v>49</v>
      </c>
      <c r="E56" s="223"/>
      <c r="F56" s="28">
        <f t="shared" ref="F56:L56" si="12">+SUM(F48:F54)</f>
        <v>0</v>
      </c>
      <c r="G56" s="28">
        <f t="shared" si="12"/>
        <v>0</v>
      </c>
      <c r="H56" s="28">
        <f t="shared" si="12"/>
        <v>0</v>
      </c>
      <c r="I56" s="28">
        <f t="shared" si="12"/>
        <v>600000</v>
      </c>
      <c r="J56" s="28">
        <f t="shared" si="12"/>
        <v>1200000</v>
      </c>
      <c r="K56" s="28">
        <f t="shared" si="12"/>
        <v>1800000</v>
      </c>
      <c r="L56" s="28">
        <f t="shared" si="12"/>
        <v>2200000</v>
      </c>
      <c r="M56" s="223"/>
      <c r="N56" s="7"/>
    </row>
    <row r="57" spans="2:14" x14ac:dyDescent="0.35">
      <c r="B57" s="217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7"/>
    </row>
    <row r="58" spans="2:14" x14ac:dyDescent="0.35">
      <c r="B58" s="217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7"/>
    </row>
    <row r="59" spans="2:14" ht="15" thickBot="1" x14ac:dyDescent="0.4">
      <c r="B59" s="219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15"/>
    </row>
  </sheetData>
  <sheetProtection selectLockedCells="1"/>
  <dataConsolidate/>
  <mergeCells count="7">
    <mergeCell ref="C45:D45"/>
    <mergeCell ref="C4:D4"/>
    <mergeCell ref="C5:D5"/>
    <mergeCell ref="C6:D6"/>
    <mergeCell ref="C8:D8"/>
    <mergeCell ref="C16:D16"/>
    <mergeCell ref="C31:D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0D93-B84F-4D7C-BB61-B28BF969A952}">
  <sheetPr codeName="Sheet4"/>
  <dimension ref="B1:L4"/>
  <sheetViews>
    <sheetView zoomScale="76" workbookViewId="0">
      <selection activeCell="J13" sqref="J13"/>
    </sheetView>
  </sheetViews>
  <sheetFormatPr defaultRowHeight="14.5" x14ac:dyDescent="0.35"/>
  <cols>
    <col min="2" max="2" width="24.81640625" customWidth="1"/>
    <col min="3" max="10" width="11.1796875" bestFit="1" customWidth="1"/>
  </cols>
  <sheetData>
    <row r="1" spans="2:12" x14ac:dyDescent="0.35">
      <c r="C1">
        <f>+'Exercício 2 Resposta'!B20</f>
        <v>2019</v>
      </c>
      <c r="D1">
        <f>+'Exercício 2 Resposta'!C20</f>
        <v>2020</v>
      </c>
      <c r="E1">
        <f>+'Exercício 2 Resposta'!D20</f>
        <v>2021</v>
      </c>
      <c r="F1">
        <f>+'Exercício 2 Resposta'!E20</f>
        <v>2022</v>
      </c>
      <c r="G1">
        <f>+'Exercício 2 Resposta'!F20</f>
        <v>2023</v>
      </c>
      <c r="H1">
        <f>+'Exercício 2 Resposta'!G20</f>
        <v>2024</v>
      </c>
      <c r="I1">
        <f>+'Exercício 2 Resposta'!H20</f>
        <v>2025</v>
      </c>
      <c r="J1">
        <f>+'Exercício 2 Resposta'!I20</f>
        <v>2026</v>
      </c>
      <c r="K1">
        <f>+'Exercício 2 Resposta'!J20</f>
        <v>0</v>
      </c>
      <c r="L1">
        <f>+'Exercício 2 Resposta'!K20</f>
        <v>0</v>
      </c>
    </row>
    <row r="2" spans="2:12" x14ac:dyDescent="0.35">
      <c r="B2" t="str">
        <f>+'Exercício 2 Resposta'!A22</f>
        <v>Receita Operacional</v>
      </c>
      <c r="C2" s="201">
        <f>+'Exercício 2 Resposta'!B22</f>
        <v>38390799.110719994</v>
      </c>
      <c r="D2" s="201">
        <f>+'Exercício 2 Resposta'!C22</f>
        <v>39173669.476390004</v>
      </c>
      <c r="E2" s="201">
        <f>+'Exercício 2 Resposta'!D22</f>
        <v>39847271.852370001</v>
      </c>
      <c r="F2" s="201">
        <f>+'Exercício 2 Resposta'!E22</f>
        <v>41106445.6429049</v>
      </c>
      <c r="G2" s="201">
        <f>+'Exercício 2 Resposta'!F22</f>
        <v>42487622.216506511</v>
      </c>
      <c r="H2" s="201">
        <f>+'Exercício 2 Resposta'!G22</f>
        <v>43864221.17632132</v>
      </c>
      <c r="I2" s="201">
        <f>+'Exercício 2 Resposta'!H22</f>
        <v>45219625.610669643</v>
      </c>
      <c r="J2" s="201">
        <f>+'Exercício 2 Resposta'!I22</f>
        <v>46146627.935688369</v>
      </c>
    </row>
    <row r="3" spans="2:12" x14ac:dyDescent="0.35">
      <c r="B3" t="str">
        <f>+'Exercício 2 Resposta'!A46</f>
        <v>EBITDA</v>
      </c>
      <c r="C3" s="201">
        <f>+'Exercício 2 Resposta'!B46</f>
        <v>7641369.6065999968</v>
      </c>
      <c r="D3" s="201">
        <f>+'Exercício 2 Resposta'!C46</f>
        <v>8510018.1046300065</v>
      </c>
      <c r="E3" s="201">
        <f>+'Exercício 2 Resposta'!D46</f>
        <v>11133006.333070002</v>
      </c>
      <c r="F3" s="201">
        <f>+'Exercício 2 Resposta'!E46</f>
        <v>10152657.930394916</v>
      </c>
      <c r="G3" s="201">
        <f>+'Exercício 2 Resposta'!F46</f>
        <v>10386542.827572508</v>
      </c>
      <c r="H3" s="201">
        <f>+'Exercício 2 Resposta'!G46</f>
        <v>10646983.130123015</v>
      </c>
      <c r="I3" s="201">
        <f>+'Exercício 2 Resposta'!H46</f>
        <v>10823365.918588065</v>
      </c>
      <c r="J3" s="201">
        <f>+'Exercício 2 Resposta'!I46</f>
        <v>10834295.913869379</v>
      </c>
    </row>
    <row r="4" spans="2:12" x14ac:dyDescent="0.35">
      <c r="B4" t="str">
        <f>+'Exercício 2 Resposta'!A165</f>
        <v>(+) Novos Empréstimos</v>
      </c>
      <c r="C4" s="201">
        <f>+'Exercício 2 Resposta'!B165</f>
        <v>0</v>
      </c>
      <c r="D4" s="201">
        <f>+'Exercício 2 Resposta'!C165</f>
        <v>0</v>
      </c>
      <c r="E4" s="201">
        <f>+'Exercício 2 Resposta'!D165</f>
        <v>0</v>
      </c>
      <c r="F4" s="201">
        <f>+'Exercício 2 Resposta'!E165</f>
        <v>3232406.5708783409</v>
      </c>
      <c r="G4" s="201">
        <f>+'Exercício 2 Resposta'!F165</f>
        <v>772810.15741156973</v>
      </c>
      <c r="H4" s="201">
        <f>+'Exercício 2 Resposta'!G165</f>
        <v>0</v>
      </c>
      <c r="I4" s="201">
        <f>+'Exercício 2 Resposta'!H165</f>
        <v>0</v>
      </c>
      <c r="J4" s="201">
        <f>+'Exercício 2 Resposta'!I165</f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C97"/>
  <sheetViews>
    <sheetView zoomScale="150" zoomScaleNormal="150" zoomScalePageLayoutView="150" workbookViewId="0">
      <selection activeCell="E5" sqref="E5"/>
    </sheetView>
  </sheetViews>
  <sheetFormatPr defaultColWidth="10.90625" defaultRowHeight="14.5" x14ac:dyDescent="0.35"/>
  <cols>
    <col min="1" max="1" width="30.453125" bestFit="1" customWidth="1"/>
    <col min="2" max="2" width="21.36328125" bestFit="1" customWidth="1"/>
    <col min="3" max="3" width="5.6328125" bestFit="1" customWidth="1"/>
  </cols>
  <sheetData>
    <row r="1" spans="1:3" x14ac:dyDescent="0.35">
      <c r="A1" s="171" t="s">
        <v>175</v>
      </c>
      <c r="B1" s="172" t="s">
        <v>174</v>
      </c>
      <c r="C1" s="173" t="s">
        <v>36</v>
      </c>
    </row>
    <row r="2" spans="1:3" x14ac:dyDescent="0.35">
      <c r="A2" s="174" t="s">
        <v>176</v>
      </c>
      <c r="B2" s="175">
        <v>180</v>
      </c>
      <c r="C2" s="176">
        <v>0.62997397260273957</v>
      </c>
    </row>
    <row r="3" spans="1:3" x14ac:dyDescent="0.35">
      <c r="A3" s="174" t="s">
        <v>342</v>
      </c>
      <c r="B3" s="175">
        <v>177</v>
      </c>
      <c r="C3" s="176">
        <v>0.79175232258064476</v>
      </c>
    </row>
    <row r="4" spans="1:3" x14ac:dyDescent="0.35">
      <c r="A4" s="174" t="s">
        <v>343</v>
      </c>
      <c r="B4" s="175">
        <v>138</v>
      </c>
      <c r="C4" s="176">
        <v>0.80489492063492096</v>
      </c>
    </row>
    <row r="5" spans="1:3" x14ac:dyDescent="0.35">
      <c r="A5" s="174" t="s">
        <v>344</v>
      </c>
      <c r="B5" s="175">
        <v>930</v>
      </c>
      <c r="C5" s="176">
        <v>0.73382542138364926</v>
      </c>
    </row>
    <row r="6" spans="1:3" x14ac:dyDescent="0.35">
      <c r="A6" s="174" t="s">
        <v>345</v>
      </c>
      <c r="B6" s="175">
        <v>119</v>
      </c>
      <c r="C6" s="176">
        <v>0.9486515533980584</v>
      </c>
    </row>
    <row r="7" spans="1:3" x14ac:dyDescent="0.35">
      <c r="A7" s="174" t="s">
        <v>346</v>
      </c>
      <c r="B7" s="175">
        <v>541</v>
      </c>
      <c r="C7" s="176">
        <v>0.86824877016129065</v>
      </c>
    </row>
    <row r="8" spans="1:3" x14ac:dyDescent="0.35">
      <c r="A8" s="174" t="s">
        <v>347</v>
      </c>
      <c r="B8" s="175">
        <v>577</v>
      </c>
      <c r="C8" s="176">
        <v>0.73850816287878818</v>
      </c>
    </row>
    <row r="9" spans="1:3" x14ac:dyDescent="0.35">
      <c r="A9" s="174" t="s">
        <v>348</v>
      </c>
      <c r="B9" s="175">
        <v>866</v>
      </c>
      <c r="C9" s="176">
        <v>0.55199522875816942</v>
      </c>
    </row>
    <row r="10" spans="1:3" x14ac:dyDescent="0.35">
      <c r="A10" s="174" t="s">
        <v>349</v>
      </c>
      <c r="B10" s="175">
        <v>83</v>
      </c>
      <c r="C10" s="176">
        <v>2.593973333333333</v>
      </c>
    </row>
    <row r="11" spans="1:3" x14ac:dyDescent="0.35">
      <c r="A11" s="174" t="s">
        <v>350</v>
      </c>
      <c r="B11" s="175">
        <v>188</v>
      </c>
      <c r="C11" s="176">
        <v>0.54891218181818202</v>
      </c>
    </row>
    <row r="12" spans="1:3" x14ac:dyDescent="0.35">
      <c r="A12" s="174" t="s">
        <v>351</v>
      </c>
      <c r="B12" s="175">
        <v>518</v>
      </c>
      <c r="C12" s="176">
        <v>0.87431061363636453</v>
      </c>
    </row>
    <row r="13" spans="1:3" x14ac:dyDescent="0.35">
      <c r="A13" s="174" t="s">
        <v>352</v>
      </c>
      <c r="B13" s="175">
        <v>134</v>
      </c>
      <c r="C13" s="176">
        <v>0.864572268907563</v>
      </c>
    </row>
    <row r="14" spans="1:3" x14ac:dyDescent="0.35">
      <c r="A14" s="174" t="s">
        <v>353</v>
      </c>
      <c r="B14" s="175">
        <v>422</v>
      </c>
      <c r="C14" s="176">
        <v>0.76600169491525427</v>
      </c>
    </row>
    <row r="15" spans="1:3" x14ac:dyDescent="0.35">
      <c r="A15" s="174" t="s">
        <v>354</v>
      </c>
      <c r="B15" s="175">
        <v>382</v>
      </c>
      <c r="C15" s="176">
        <v>0.64362316568047329</v>
      </c>
    </row>
    <row r="16" spans="1:3" x14ac:dyDescent="0.35">
      <c r="A16" s="174" t="s">
        <v>355</v>
      </c>
      <c r="B16" s="175">
        <v>570</v>
      </c>
      <c r="C16" s="176">
        <v>0.66268498977505053</v>
      </c>
    </row>
    <row r="17" spans="1:3" x14ac:dyDescent="0.35">
      <c r="A17" s="174" t="s">
        <v>356</v>
      </c>
      <c r="B17" s="175">
        <v>59</v>
      </c>
      <c r="C17" s="176">
        <v>0.85389481481481466</v>
      </c>
    </row>
    <row r="18" spans="1:3" x14ac:dyDescent="0.35">
      <c r="A18" s="174" t="s">
        <v>357</v>
      </c>
      <c r="B18" s="175">
        <v>634</v>
      </c>
      <c r="C18" s="176">
        <v>0.6585927941176476</v>
      </c>
    </row>
    <row r="19" spans="1:3" x14ac:dyDescent="0.35">
      <c r="A19" s="174" t="s">
        <v>358</v>
      </c>
      <c r="B19" s="175">
        <v>84</v>
      </c>
      <c r="C19" s="176">
        <v>1.0655017333333334</v>
      </c>
    </row>
    <row r="20" spans="1:3" x14ac:dyDescent="0.35">
      <c r="A20" s="174" t="s">
        <v>359</v>
      </c>
      <c r="B20" s="175">
        <v>589</v>
      </c>
      <c r="C20" s="176">
        <v>0.78193788954635135</v>
      </c>
    </row>
    <row r="21" spans="1:3" x14ac:dyDescent="0.35">
      <c r="A21" s="174" t="s">
        <v>360</v>
      </c>
      <c r="B21" s="175">
        <v>277</v>
      </c>
      <c r="C21" s="176">
        <v>1.247422981651376</v>
      </c>
    </row>
    <row r="22" spans="1:3" x14ac:dyDescent="0.35">
      <c r="A22" s="174" t="s">
        <v>361</v>
      </c>
      <c r="B22" s="175">
        <v>816</v>
      </c>
      <c r="C22" s="176">
        <v>0.67551479564032779</v>
      </c>
    </row>
    <row r="23" spans="1:3" x14ac:dyDescent="0.35">
      <c r="A23" s="174" t="s">
        <v>362</v>
      </c>
      <c r="B23" s="175">
        <v>871</v>
      </c>
      <c r="C23" s="176">
        <v>0.72214898587933296</v>
      </c>
    </row>
    <row r="24" spans="1:3" x14ac:dyDescent="0.35">
      <c r="A24" s="174" t="s">
        <v>363</v>
      </c>
      <c r="B24" s="175">
        <v>339</v>
      </c>
      <c r="C24" s="176">
        <v>0.67567350318471375</v>
      </c>
    </row>
    <row r="25" spans="1:3" x14ac:dyDescent="0.35">
      <c r="A25" s="174" t="s">
        <v>364</v>
      </c>
      <c r="B25" s="175">
        <v>409</v>
      </c>
      <c r="C25" s="176">
        <v>0.6697130061349692</v>
      </c>
    </row>
    <row r="26" spans="1:3" x14ac:dyDescent="0.35">
      <c r="A26" s="174" t="s">
        <v>365</v>
      </c>
      <c r="B26" s="175">
        <v>369</v>
      </c>
      <c r="C26" s="176">
        <v>0.69785127329192553</v>
      </c>
    </row>
    <row r="27" spans="1:3" x14ac:dyDescent="0.35">
      <c r="A27" s="174" t="s">
        <v>366</v>
      </c>
      <c r="B27" s="175">
        <v>120</v>
      </c>
      <c r="C27" s="176">
        <v>0.51662263157894728</v>
      </c>
    </row>
    <row r="28" spans="1:3" x14ac:dyDescent="0.35">
      <c r="A28" s="174" t="s">
        <v>367</v>
      </c>
      <c r="B28" s="175">
        <v>715</v>
      </c>
      <c r="C28" s="176">
        <v>7.6851902905982898</v>
      </c>
    </row>
    <row r="29" spans="1:3" x14ac:dyDescent="0.35">
      <c r="A29" s="174" t="s">
        <v>368</v>
      </c>
      <c r="B29" s="175">
        <v>995</v>
      </c>
      <c r="C29" s="176">
        <v>0.70504225733634263</v>
      </c>
    </row>
    <row r="30" spans="1:3" x14ac:dyDescent="0.35">
      <c r="A30" s="174" t="s">
        <v>369</v>
      </c>
      <c r="B30" s="175">
        <v>196</v>
      </c>
      <c r="C30" s="176">
        <v>0.9891262500000001</v>
      </c>
    </row>
    <row r="31" spans="1:3" x14ac:dyDescent="0.35">
      <c r="A31" s="174" t="s">
        <v>370</v>
      </c>
      <c r="B31" s="175">
        <v>997</v>
      </c>
      <c r="C31" s="176">
        <v>0.79269716564417136</v>
      </c>
    </row>
    <row r="32" spans="1:3" x14ac:dyDescent="0.35">
      <c r="A32" s="174" t="s">
        <v>371</v>
      </c>
      <c r="B32" s="175">
        <v>258</v>
      </c>
      <c r="C32" s="176">
        <v>0.65943570776255744</v>
      </c>
    </row>
    <row r="33" spans="1:3" x14ac:dyDescent="0.35">
      <c r="A33" s="174" t="s">
        <v>372</v>
      </c>
      <c r="B33" s="175">
        <v>221</v>
      </c>
      <c r="C33" s="176">
        <v>1.0722377127659573</v>
      </c>
    </row>
    <row r="34" spans="1:3" x14ac:dyDescent="0.35">
      <c r="A34" s="174" t="s">
        <v>373</v>
      </c>
      <c r="B34" s="175">
        <v>318</v>
      </c>
      <c r="C34" s="176">
        <v>0.58942172794117675</v>
      </c>
    </row>
    <row r="35" spans="1:3" x14ac:dyDescent="0.35">
      <c r="A35" s="174" t="s">
        <v>374</v>
      </c>
      <c r="B35" s="175">
        <v>402</v>
      </c>
      <c r="C35" s="176">
        <v>0.68783623100303992</v>
      </c>
    </row>
    <row r="36" spans="1:3" x14ac:dyDescent="0.35">
      <c r="A36" s="174" t="s">
        <v>375</v>
      </c>
      <c r="B36" s="175">
        <v>82</v>
      </c>
      <c r="C36" s="176">
        <v>0.81542323943661976</v>
      </c>
    </row>
    <row r="37" spans="1:3" x14ac:dyDescent="0.35">
      <c r="A37" s="174" t="s">
        <v>376</v>
      </c>
      <c r="B37" s="175">
        <v>1053</v>
      </c>
      <c r="C37" s="176">
        <v>0.624442646706587</v>
      </c>
    </row>
    <row r="38" spans="1:3" x14ac:dyDescent="0.35">
      <c r="A38" s="174" t="s">
        <v>377</v>
      </c>
      <c r="B38" s="175">
        <v>83</v>
      </c>
      <c r="C38" s="176">
        <v>0.4559065277777779</v>
      </c>
    </row>
    <row r="39" spans="1:3" x14ac:dyDescent="0.35">
      <c r="A39" s="174" t="s">
        <v>378</v>
      </c>
      <c r="B39" s="175">
        <v>289</v>
      </c>
      <c r="C39" s="176">
        <v>0.71471620000000047</v>
      </c>
    </row>
    <row r="40" spans="1:3" x14ac:dyDescent="0.35">
      <c r="A40" s="174" t="s">
        <v>379</v>
      </c>
      <c r="B40" s="175">
        <v>277</v>
      </c>
      <c r="C40" s="176">
        <v>0.4547915899581591</v>
      </c>
    </row>
    <row r="41" spans="1:3" x14ac:dyDescent="0.35">
      <c r="A41" s="174" t="s">
        <v>380</v>
      </c>
      <c r="B41" s="175">
        <v>212</v>
      </c>
      <c r="C41" s="176">
        <v>0.87169084210526304</v>
      </c>
    </row>
    <row r="42" spans="1:3" x14ac:dyDescent="0.35">
      <c r="A42" s="174" t="s">
        <v>381</v>
      </c>
      <c r="B42" s="175">
        <v>489</v>
      </c>
      <c r="C42" s="176">
        <v>0.84806208333333355</v>
      </c>
    </row>
    <row r="43" spans="1:3" x14ac:dyDescent="0.35">
      <c r="A43" s="174" t="s">
        <v>379</v>
      </c>
      <c r="B43" s="175">
        <v>134</v>
      </c>
      <c r="C43" s="176">
        <v>0.57761905982905992</v>
      </c>
    </row>
    <row r="44" spans="1:3" x14ac:dyDescent="0.35">
      <c r="A44" s="174" t="s">
        <v>382</v>
      </c>
      <c r="B44" s="175">
        <v>310</v>
      </c>
      <c r="C44" s="176">
        <v>1.0041849999999997</v>
      </c>
    </row>
    <row r="45" spans="1:3" x14ac:dyDescent="0.35">
      <c r="A45" s="174" t="s">
        <v>383</v>
      </c>
      <c r="B45" s="175">
        <v>140</v>
      </c>
      <c r="C45" s="176">
        <v>0.99487911999999945</v>
      </c>
    </row>
    <row r="46" spans="1:3" x14ac:dyDescent="0.35">
      <c r="A46" s="174" t="s">
        <v>384</v>
      </c>
      <c r="B46" s="175">
        <v>520</v>
      </c>
      <c r="C46" s="176">
        <v>0.71359098086124373</v>
      </c>
    </row>
    <row r="47" spans="1:3" x14ac:dyDescent="0.35">
      <c r="A47" s="174" t="s">
        <v>385</v>
      </c>
      <c r="B47" s="175">
        <v>359</v>
      </c>
      <c r="C47" s="176">
        <v>0.63261208609271524</v>
      </c>
    </row>
    <row r="48" spans="1:3" x14ac:dyDescent="0.35">
      <c r="A48" s="174" t="s">
        <v>386</v>
      </c>
      <c r="B48" s="175">
        <v>134</v>
      </c>
      <c r="C48" s="176">
        <v>0.82626341666666658</v>
      </c>
    </row>
    <row r="49" spans="1:3" x14ac:dyDescent="0.35">
      <c r="A49" s="174" t="s">
        <v>387</v>
      </c>
      <c r="B49" s="175">
        <v>216</v>
      </c>
      <c r="C49" s="176">
        <v>0.61214365168539364</v>
      </c>
    </row>
    <row r="50" spans="1:3" x14ac:dyDescent="0.35">
      <c r="A50" s="174" t="s">
        <v>388</v>
      </c>
      <c r="B50" s="175">
        <v>114</v>
      </c>
      <c r="C50" s="176">
        <v>1.1325840449438205</v>
      </c>
    </row>
    <row r="51" spans="1:3" x14ac:dyDescent="0.35">
      <c r="A51" s="174" t="s">
        <v>389</v>
      </c>
      <c r="B51" s="175">
        <v>208</v>
      </c>
      <c r="C51" s="176">
        <v>0.65594562130177514</v>
      </c>
    </row>
    <row r="52" spans="1:3" x14ac:dyDescent="0.35">
      <c r="A52" s="174" t="s">
        <v>390</v>
      </c>
      <c r="B52" s="175">
        <v>500</v>
      </c>
      <c r="C52" s="176">
        <v>0.79714817733990229</v>
      </c>
    </row>
    <row r="53" spans="1:3" x14ac:dyDescent="0.35">
      <c r="A53" s="174" t="s">
        <v>391</v>
      </c>
      <c r="B53" s="175">
        <v>276</v>
      </c>
      <c r="C53" s="176">
        <v>0.79532967567567547</v>
      </c>
    </row>
    <row r="54" spans="1:3" x14ac:dyDescent="0.35">
      <c r="A54" s="174" t="s">
        <v>392</v>
      </c>
      <c r="B54" s="175">
        <v>1083</v>
      </c>
      <c r="C54" s="176">
        <v>0.79733694736842087</v>
      </c>
    </row>
    <row r="55" spans="1:3" x14ac:dyDescent="0.35">
      <c r="A55" s="174" t="s">
        <v>393</v>
      </c>
      <c r="B55" s="175">
        <v>1330</v>
      </c>
      <c r="C55" s="176">
        <v>1.0234052036199093</v>
      </c>
    </row>
    <row r="56" spans="1:3" x14ac:dyDescent="0.35">
      <c r="A56" s="174" t="s">
        <v>394</v>
      </c>
      <c r="B56" s="175">
        <v>136</v>
      </c>
      <c r="C56" s="176">
        <v>0.60060638655462184</v>
      </c>
    </row>
    <row r="57" spans="1:3" x14ac:dyDescent="0.35">
      <c r="A57" s="174" t="s">
        <v>395</v>
      </c>
      <c r="B57" s="175">
        <v>56</v>
      </c>
      <c r="C57" s="176">
        <v>0.87057901960784301</v>
      </c>
    </row>
    <row r="58" spans="1:3" x14ac:dyDescent="0.35">
      <c r="A58" s="174" t="s">
        <v>396</v>
      </c>
      <c r="B58" s="175">
        <v>855</v>
      </c>
      <c r="C58" s="176">
        <v>1.3301103458213248</v>
      </c>
    </row>
    <row r="59" spans="1:3" x14ac:dyDescent="0.35">
      <c r="A59" s="174" t="s">
        <v>397</v>
      </c>
      <c r="B59" s="175">
        <v>156</v>
      </c>
      <c r="C59" s="176">
        <v>0.87784734848484847</v>
      </c>
    </row>
    <row r="60" spans="1:3" x14ac:dyDescent="0.35">
      <c r="A60" s="174" t="s">
        <v>398</v>
      </c>
      <c r="B60" s="175">
        <v>470</v>
      </c>
      <c r="C60" s="176">
        <v>0.65008116336633659</v>
      </c>
    </row>
    <row r="61" spans="1:3" x14ac:dyDescent="0.35">
      <c r="A61" s="174" t="s">
        <v>399</v>
      </c>
      <c r="B61" s="175">
        <v>314</v>
      </c>
      <c r="C61" s="176">
        <v>2.7479917187500003</v>
      </c>
    </row>
    <row r="62" spans="1:3" x14ac:dyDescent="0.35">
      <c r="A62" s="174" t="s">
        <v>400</v>
      </c>
      <c r="B62" s="175">
        <v>297</v>
      </c>
      <c r="C62" s="176">
        <v>0.7969576603773586</v>
      </c>
    </row>
    <row r="63" spans="1:3" x14ac:dyDescent="0.35">
      <c r="A63" s="174" t="s">
        <v>401</v>
      </c>
      <c r="B63" s="175">
        <v>728</v>
      </c>
      <c r="C63" s="176">
        <v>0.9995442009884683</v>
      </c>
    </row>
    <row r="64" spans="1:3" x14ac:dyDescent="0.35">
      <c r="A64" s="174" t="s">
        <v>402</v>
      </c>
      <c r="B64" s="175">
        <v>658</v>
      </c>
      <c r="C64" s="176">
        <v>0.59434822957198485</v>
      </c>
    </row>
    <row r="65" spans="1:3" x14ac:dyDescent="0.35">
      <c r="A65" s="174" t="s">
        <v>403</v>
      </c>
      <c r="B65" s="175">
        <v>1014</v>
      </c>
      <c r="C65" s="176">
        <v>1.0244164864864862</v>
      </c>
    </row>
    <row r="66" spans="1:3" x14ac:dyDescent="0.35">
      <c r="A66" s="174" t="s">
        <v>404</v>
      </c>
      <c r="B66" s="175">
        <v>360</v>
      </c>
      <c r="C66" s="176">
        <v>0.70491857615893971</v>
      </c>
    </row>
    <row r="67" spans="1:3" x14ac:dyDescent="0.35">
      <c r="A67" s="174" t="s">
        <v>405</v>
      </c>
      <c r="B67" s="175">
        <v>123</v>
      </c>
      <c r="C67" s="176">
        <v>0.67353302083333322</v>
      </c>
    </row>
    <row r="68" spans="1:3" x14ac:dyDescent="0.35">
      <c r="A68" s="174" t="s">
        <v>406</v>
      </c>
      <c r="B68" s="175">
        <v>51</v>
      </c>
      <c r="C68" s="176">
        <v>0.57836521739130431</v>
      </c>
    </row>
    <row r="69" spans="1:3" x14ac:dyDescent="0.35">
      <c r="A69" s="174" t="s">
        <v>407</v>
      </c>
      <c r="B69" s="175">
        <v>395</v>
      </c>
      <c r="C69" s="176">
        <v>0.76213426086956515</v>
      </c>
    </row>
    <row r="70" spans="1:3" x14ac:dyDescent="0.35">
      <c r="A70" s="174" t="s">
        <v>408</v>
      </c>
      <c r="B70" s="175">
        <v>493</v>
      </c>
      <c r="C70" s="176">
        <v>0.80923675000000006</v>
      </c>
    </row>
    <row r="71" spans="1:3" x14ac:dyDescent="0.35">
      <c r="A71" s="174" t="s">
        <v>409</v>
      </c>
      <c r="B71" s="175">
        <v>368</v>
      </c>
      <c r="C71" s="176">
        <v>0.57871070739549846</v>
      </c>
    </row>
    <row r="72" spans="1:3" x14ac:dyDescent="0.35">
      <c r="A72" s="174" t="s">
        <v>410</v>
      </c>
      <c r="B72" s="175">
        <v>246</v>
      </c>
      <c r="C72" s="176">
        <v>0.68809360730593616</v>
      </c>
    </row>
    <row r="73" spans="1:3" x14ac:dyDescent="0.35">
      <c r="A73" s="174" t="s">
        <v>411</v>
      </c>
      <c r="B73" s="175">
        <v>39</v>
      </c>
      <c r="C73" s="176">
        <v>0.69760972222222217</v>
      </c>
    </row>
    <row r="74" spans="1:3" x14ac:dyDescent="0.35">
      <c r="A74" s="174" t="s">
        <v>412</v>
      </c>
      <c r="B74" s="175">
        <v>246</v>
      </c>
      <c r="C74" s="176">
        <v>0.59777772925764205</v>
      </c>
    </row>
    <row r="75" spans="1:3" x14ac:dyDescent="0.35">
      <c r="A75" s="174" t="s">
        <v>413</v>
      </c>
      <c r="B75" s="175">
        <v>108</v>
      </c>
      <c r="C75" s="176">
        <v>0.69869308510638295</v>
      </c>
    </row>
    <row r="76" spans="1:3" x14ac:dyDescent="0.35">
      <c r="A76" s="174" t="s">
        <v>414</v>
      </c>
      <c r="B76" s="175">
        <v>45</v>
      </c>
      <c r="C76" s="176">
        <v>0.59925073170731702</v>
      </c>
    </row>
    <row r="77" spans="1:3" x14ac:dyDescent="0.35">
      <c r="A77" s="174" t="s">
        <v>415</v>
      </c>
      <c r="B77" s="175">
        <v>721</v>
      </c>
      <c r="C77" s="176">
        <v>0.66208070287539933</v>
      </c>
    </row>
    <row r="78" spans="1:3" x14ac:dyDescent="0.35">
      <c r="A78" s="174" t="s">
        <v>416</v>
      </c>
      <c r="B78" s="175">
        <v>233</v>
      </c>
      <c r="C78" s="176">
        <v>0.62735570754716996</v>
      </c>
    </row>
    <row r="79" spans="1:3" x14ac:dyDescent="0.35">
      <c r="A79" s="174" t="s">
        <v>417</v>
      </c>
      <c r="B79" s="175">
        <v>150</v>
      </c>
      <c r="C79" s="176">
        <v>0.40772107692307685</v>
      </c>
    </row>
    <row r="80" spans="1:3" x14ac:dyDescent="0.35">
      <c r="A80" s="174" t="s">
        <v>418</v>
      </c>
      <c r="B80" s="175">
        <v>70</v>
      </c>
      <c r="C80" s="176">
        <v>0.77216183333333355</v>
      </c>
    </row>
    <row r="81" spans="1:3" x14ac:dyDescent="0.35">
      <c r="A81" s="174" t="s">
        <v>419</v>
      </c>
      <c r="B81" s="175">
        <v>490</v>
      </c>
      <c r="C81" s="176">
        <v>0.79213239179954353</v>
      </c>
    </row>
    <row r="82" spans="1:3" x14ac:dyDescent="0.35">
      <c r="A82" s="174" t="s">
        <v>420</v>
      </c>
      <c r="B82" s="175">
        <v>86</v>
      </c>
      <c r="C82" s="176">
        <v>0.77431069444444445</v>
      </c>
    </row>
    <row r="83" spans="1:3" x14ac:dyDescent="0.35">
      <c r="A83" s="174" t="s">
        <v>421</v>
      </c>
      <c r="B83" s="175">
        <v>549</v>
      </c>
      <c r="C83" s="176">
        <v>0.90394406382978743</v>
      </c>
    </row>
    <row r="84" spans="1:3" x14ac:dyDescent="0.35">
      <c r="A84" s="174" t="s">
        <v>422</v>
      </c>
      <c r="B84" s="175">
        <v>245</v>
      </c>
      <c r="C84" s="176">
        <v>0.99649540909090939</v>
      </c>
    </row>
    <row r="85" spans="1:3" x14ac:dyDescent="0.35">
      <c r="A85" s="174" t="s">
        <v>423</v>
      </c>
      <c r="B85" s="175">
        <v>334</v>
      </c>
      <c r="C85" s="176">
        <v>0.75791482269503485</v>
      </c>
    </row>
    <row r="86" spans="1:3" x14ac:dyDescent="0.35">
      <c r="A86" s="174" t="s">
        <v>424</v>
      </c>
      <c r="B86" s="175">
        <v>86</v>
      </c>
      <c r="C86" s="176">
        <v>0.74117818181818207</v>
      </c>
    </row>
    <row r="87" spans="1:3" x14ac:dyDescent="0.35">
      <c r="A87" s="174" t="s">
        <v>425</v>
      </c>
      <c r="B87" s="175">
        <v>619</v>
      </c>
      <c r="C87" s="176">
        <v>1.0001304642166353</v>
      </c>
    </row>
    <row r="88" spans="1:3" x14ac:dyDescent="0.35">
      <c r="A88" s="174" t="s">
        <v>426</v>
      </c>
      <c r="B88" s="175">
        <v>112</v>
      </c>
      <c r="C88" s="176">
        <v>0.69007067961165014</v>
      </c>
    </row>
    <row r="89" spans="1:3" x14ac:dyDescent="0.35">
      <c r="A89" s="174" t="s">
        <v>427</v>
      </c>
      <c r="B89" s="175">
        <v>530</v>
      </c>
      <c r="C89" s="176">
        <v>0.8369889462365584</v>
      </c>
    </row>
    <row r="90" spans="1:3" x14ac:dyDescent="0.35">
      <c r="A90" s="174" t="s">
        <v>428</v>
      </c>
      <c r="B90" s="175">
        <v>273</v>
      </c>
      <c r="C90" s="176">
        <v>0.64157798283261813</v>
      </c>
    </row>
    <row r="91" spans="1:3" x14ac:dyDescent="0.35">
      <c r="A91" s="174" t="s">
        <v>429</v>
      </c>
      <c r="B91" s="175">
        <v>260</v>
      </c>
      <c r="C91" s="176">
        <v>0.58045452674897124</v>
      </c>
    </row>
    <row r="92" spans="1:3" x14ac:dyDescent="0.35">
      <c r="A92" s="174" t="s">
        <v>430</v>
      </c>
      <c r="B92" s="175">
        <v>51</v>
      </c>
      <c r="C92" s="176">
        <v>0.58252714285714302</v>
      </c>
    </row>
    <row r="93" spans="1:3" x14ac:dyDescent="0.35">
      <c r="A93" s="174" t="s">
        <v>431</v>
      </c>
      <c r="B93" s="175">
        <v>205</v>
      </c>
      <c r="C93" s="176">
        <v>0.60052028901734111</v>
      </c>
    </row>
    <row r="94" spans="1:3" x14ac:dyDescent="0.35">
      <c r="A94" s="174" t="s">
        <v>432</v>
      </c>
      <c r="B94" s="175">
        <v>163</v>
      </c>
      <c r="C94" s="176">
        <v>0.63842767605633854</v>
      </c>
    </row>
    <row r="95" spans="1:3" x14ac:dyDescent="0.35">
      <c r="A95" s="174" t="s">
        <v>178</v>
      </c>
      <c r="B95" s="175">
        <v>65</v>
      </c>
      <c r="C95" s="176">
        <v>0.54696784615384608</v>
      </c>
    </row>
    <row r="96" spans="1:3" ht="16.5" x14ac:dyDescent="0.35">
      <c r="A96" s="264" t="s">
        <v>177</v>
      </c>
      <c r="B96" s="175">
        <v>84</v>
      </c>
      <c r="C96" s="176">
        <v>0.6437933802816902</v>
      </c>
    </row>
    <row r="97" spans="1:3" x14ac:dyDescent="0.35">
      <c r="A97" s="174" t="s">
        <v>433</v>
      </c>
      <c r="B97" s="175">
        <v>34787</v>
      </c>
      <c r="C97" s="176">
        <v>0.93196623494484099</v>
      </c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2:J98"/>
  <sheetViews>
    <sheetView zoomScale="56" zoomScaleNormal="125" zoomScalePageLayoutView="125" workbookViewId="0">
      <selection activeCell="R12" sqref="R12"/>
    </sheetView>
  </sheetViews>
  <sheetFormatPr defaultColWidth="10.81640625" defaultRowHeight="15.5" x14ac:dyDescent="0.35"/>
  <cols>
    <col min="1" max="1" width="18.08984375" style="177" bestFit="1" customWidth="1"/>
    <col min="2" max="2" width="15" style="177" customWidth="1"/>
    <col min="3" max="3" width="7.54296875" style="177" bestFit="1" customWidth="1"/>
    <col min="4" max="4" width="12.81640625" style="177" customWidth="1"/>
    <col min="5" max="5" width="16.26953125" style="177" bestFit="1" customWidth="1"/>
    <col min="6" max="6" width="14.08984375" style="177" bestFit="1" customWidth="1"/>
    <col min="7" max="7" width="16.1796875" style="177" bestFit="1" customWidth="1"/>
    <col min="8" max="8" width="14.7265625" style="177" bestFit="1" customWidth="1"/>
    <col min="9" max="9" width="14.90625" style="177" bestFit="1" customWidth="1"/>
    <col min="10" max="10" width="6.54296875" style="177" bestFit="1" customWidth="1"/>
    <col min="11" max="16384" width="10.81640625" style="177"/>
  </cols>
  <sheetData>
    <row r="2" spans="1:9" ht="16" thickBot="1" x14ac:dyDescent="0.4"/>
    <row r="3" spans="1:9" ht="16" thickBot="1" x14ac:dyDescent="0.4">
      <c r="B3" s="263" t="s">
        <v>163</v>
      </c>
      <c r="C3" s="179"/>
      <c r="D3" s="180"/>
      <c r="E3" s="178" t="s">
        <v>164</v>
      </c>
      <c r="F3" s="179"/>
      <c r="G3" s="180"/>
    </row>
    <row r="4" spans="1:9" x14ac:dyDescent="0.35">
      <c r="B4" s="196"/>
      <c r="C4" s="196"/>
      <c r="D4" s="196"/>
      <c r="E4" s="196"/>
      <c r="F4" s="196"/>
      <c r="G4" s="196"/>
    </row>
    <row r="5" spans="1:9" x14ac:dyDescent="0.35">
      <c r="A5" s="181" t="s">
        <v>165</v>
      </c>
      <c r="B5" s="181" t="s">
        <v>166</v>
      </c>
      <c r="C5" s="181" t="s">
        <v>37</v>
      </c>
      <c r="D5" s="181" t="s">
        <v>38</v>
      </c>
      <c r="E5" s="182" t="s">
        <v>166</v>
      </c>
      <c r="F5" s="182" t="s">
        <v>37</v>
      </c>
      <c r="G5" s="182" t="s">
        <v>38</v>
      </c>
      <c r="H5" s="177" t="s">
        <v>167</v>
      </c>
      <c r="I5" s="177" t="s">
        <v>168</v>
      </c>
    </row>
    <row r="6" spans="1:9" x14ac:dyDescent="0.35">
      <c r="A6" s="183">
        <v>1928</v>
      </c>
      <c r="B6" s="184">
        <v>0.43811155152887893</v>
      </c>
      <c r="C6" s="184">
        <v>3.0800000000000001E-2</v>
      </c>
      <c r="D6" s="184">
        <v>8.354708589799302E-3</v>
      </c>
      <c r="E6" s="185">
        <f>100*(1+B6)</f>
        <v>143.81115515288789</v>
      </c>
      <c r="F6" s="185">
        <f>100*(1+C6)</f>
        <v>103.08</v>
      </c>
      <c r="G6" s="185">
        <f>100*(1+D6)</f>
        <v>100.83547085897993</v>
      </c>
      <c r="H6" s="186">
        <f>B6-C6</f>
        <v>0.40731155152887893</v>
      </c>
      <c r="I6" s="187">
        <f>B6-D6</f>
        <v>0.42975684293907962</v>
      </c>
    </row>
    <row r="7" spans="1:9" x14ac:dyDescent="0.35">
      <c r="A7" s="183">
        <v>1929</v>
      </c>
      <c r="B7" s="184">
        <v>-8.2979466119096595E-2</v>
      </c>
      <c r="C7" s="184">
        <v>3.1600000000000003E-2</v>
      </c>
      <c r="D7" s="184">
        <v>4.2038041563204259E-2</v>
      </c>
      <c r="E7" s="185">
        <f t="shared" ref="E7:G22" si="0">E6*(1+B7)</f>
        <v>131.87778227633069</v>
      </c>
      <c r="F7" s="185">
        <f t="shared" si="0"/>
        <v>106.337328</v>
      </c>
      <c r="G7" s="185">
        <f t="shared" si="0"/>
        <v>105.074396573995</v>
      </c>
      <c r="H7" s="186">
        <f t="shared" ref="H7:H70" si="1">B7-C7</f>
        <v>-0.1145794661190966</v>
      </c>
      <c r="I7" s="187">
        <f t="shared" ref="I7:I70" si="2">B7-D7</f>
        <v>-0.12501750768230085</v>
      </c>
    </row>
    <row r="8" spans="1:9" x14ac:dyDescent="0.35">
      <c r="A8" s="183">
        <v>1930</v>
      </c>
      <c r="B8" s="184">
        <v>-0.25123636363636365</v>
      </c>
      <c r="C8" s="184">
        <v>4.5499999999999999E-2</v>
      </c>
      <c r="D8" s="184">
        <v>4.5409314348970366E-2</v>
      </c>
      <c r="E8" s="185">
        <f t="shared" si="0"/>
        <v>98.745287812797272</v>
      </c>
      <c r="F8" s="185">
        <f t="shared" si="0"/>
        <v>111.17567642400002</v>
      </c>
      <c r="G8" s="185">
        <f t="shared" si="0"/>
        <v>109.84575287805193</v>
      </c>
      <c r="H8" s="186">
        <f t="shared" si="1"/>
        <v>-0.29673636363636363</v>
      </c>
      <c r="I8" s="187">
        <f t="shared" si="2"/>
        <v>-0.29664567798533403</v>
      </c>
    </row>
    <row r="9" spans="1:9" x14ac:dyDescent="0.35">
      <c r="A9" s="183">
        <v>1931</v>
      </c>
      <c r="B9" s="184">
        <v>-0.43837548891786188</v>
      </c>
      <c r="C9" s="184">
        <v>2.3099999999999999E-2</v>
      </c>
      <c r="D9" s="184">
        <v>-2.5588559619422531E-2</v>
      </c>
      <c r="E9" s="185">
        <f t="shared" si="0"/>
        <v>55.457773989527276</v>
      </c>
      <c r="F9" s="185">
        <f t="shared" si="0"/>
        <v>113.74383454939441</v>
      </c>
      <c r="G9" s="185">
        <f t="shared" si="0"/>
        <v>107.03495828159154</v>
      </c>
      <c r="H9" s="186">
        <f t="shared" si="1"/>
        <v>-0.46147548891786189</v>
      </c>
      <c r="I9" s="187">
        <f t="shared" si="2"/>
        <v>-0.41278692929843935</v>
      </c>
    </row>
    <row r="10" spans="1:9" x14ac:dyDescent="0.35">
      <c r="A10" s="183">
        <v>1932</v>
      </c>
      <c r="B10" s="184">
        <v>-8.642364532019696E-2</v>
      </c>
      <c r="C10" s="184">
        <v>1.0699999999999999E-2</v>
      </c>
      <c r="D10" s="184">
        <v>8.7903069904773257E-2</v>
      </c>
      <c r="E10" s="185">
        <f t="shared" si="0"/>
        <v>50.664911000008722</v>
      </c>
      <c r="F10" s="185">
        <f t="shared" si="0"/>
        <v>114.96089357907292</v>
      </c>
      <c r="G10" s="185">
        <f t="shared" si="0"/>
        <v>116.44365970167279</v>
      </c>
      <c r="H10" s="186">
        <f t="shared" si="1"/>
        <v>-9.7123645320196961E-2</v>
      </c>
      <c r="I10" s="187">
        <f t="shared" si="2"/>
        <v>-0.17432671522497023</v>
      </c>
    </row>
    <row r="11" spans="1:9" x14ac:dyDescent="0.35">
      <c r="A11" s="183">
        <v>1933</v>
      </c>
      <c r="B11" s="184">
        <v>0.49982225433526023</v>
      </c>
      <c r="C11" s="184">
        <v>9.5999999999999992E-3</v>
      </c>
      <c r="D11" s="184">
        <v>1.8552720891857361E-2</v>
      </c>
      <c r="E11" s="185">
        <f t="shared" si="0"/>
        <v>75.988361031728402</v>
      </c>
      <c r="F11" s="185">
        <f t="shared" si="0"/>
        <v>116.06451815743202</v>
      </c>
      <c r="G11" s="185">
        <f t="shared" si="0"/>
        <v>118.60400641974435</v>
      </c>
      <c r="H11" s="186">
        <f t="shared" si="1"/>
        <v>0.49022225433526023</v>
      </c>
      <c r="I11" s="187">
        <f t="shared" si="2"/>
        <v>0.48126953344340284</v>
      </c>
    </row>
    <row r="12" spans="1:9" x14ac:dyDescent="0.35">
      <c r="A12" s="183">
        <v>1934</v>
      </c>
      <c r="B12" s="184">
        <v>-1.1885656970912803E-2</v>
      </c>
      <c r="C12" s="184">
        <v>3.225E-3</v>
      </c>
      <c r="D12" s="184">
        <v>7.9634426179656104E-2</v>
      </c>
      <c r="E12" s="185">
        <f t="shared" si="0"/>
        <v>75.085189438723404</v>
      </c>
      <c r="F12" s="185">
        <f t="shared" si="0"/>
        <v>116.43882622848975</v>
      </c>
      <c r="G12" s="185">
        <f t="shared" si="0"/>
        <v>128.04896841358894</v>
      </c>
      <c r="H12" s="186">
        <f t="shared" si="1"/>
        <v>-1.5110656970912803E-2</v>
      </c>
      <c r="I12" s="187">
        <f t="shared" si="2"/>
        <v>-9.1520083150568907E-2</v>
      </c>
    </row>
    <row r="13" spans="1:9" x14ac:dyDescent="0.35">
      <c r="A13" s="183">
        <v>1935</v>
      </c>
      <c r="B13" s="184">
        <v>0.46740421052631581</v>
      </c>
      <c r="C13" s="184">
        <v>1.7499999999999998E-3</v>
      </c>
      <c r="D13" s="184">
        <v>4.4720477296566127E-2</v>
      </c>
      <c r="E13" s="185">
        <f t="shared" si="0"/>
        <v>110.18032313054879</v>
      </c>
      <c r="F13" s="185">
        <f t="shared" si="0"/>
        <v>116.64259417438959</v>
      </c>
      <c r="G13" s="185">
        <f t="shared" si="0"/>
        <v>133.77537939837757</v>
      </c>
      <c r="H13" s="186">
        <f t="shared" si="1"/>
        <v>0.46565421052631584</v>
      </c>
      <c r="I13" s="187">
        <f t="shared" si="2"/>
        <v>0.42268373322974967</v>
      </c>
    </row>
    <row r="14" spans="1:9" x14ac:dyDescent="0.35">
      <c r="A14" s="183">
        <v>1936</v>
      </c>
      <c r="B14" s="184">
        <v>0.31943410275502609</v>
      </c>
      <c r="C14" s="184">
        <v>1.7000000000000001E-3</v>
      </c>
      <c r="D14" s="184">
        <v>5.0178754045450601E-2</v>
      </c>
      <c r="E14" s="185">
        <f t="shared" si="0"/>
        <v>145.37567579101449</v>
      </c>
      <c r="F14" s="185">
        <f t="shared" si="0"/>
        <v>116.84088658448606</v>
      </c>
      <c r="G14" s="185">
        <f t="shared" si="0"/>
        <v>140.4880612585456</v>
      </c>
      <c r="H14" s="186">
        <f t="shared" si="1"/>
        <v>0.31773410275502612</v>
      </c>
      <c r="I14" s="187">
        <f t="shared" si="2"/>
        <v>0.26925534870957551</v>
      </c>
    </row>
    <row r="15" spans="1:9" x14ac:dyDescent="0.35">
      <c r="A15" s="183">
        <v>1937</v>
      </c>
      <c r="B15" s="184">
        <v>-0.35336728754365537</v>
      </c>
      <c r="C15" s="184">
        <v>3.0250000000000003E-3</v>
      </c>
      <c r="D15" s="184">
        <v>1.379146059646038E-2</v>
      </c>
      <c r="E15" s="185">
        <f t="shared" si="0"/>
        <v>94.004667561917856</v>
      </c>
      <c r="F15" s="185">
        <f t="shared" si="0"/>
        <v>117.19433026640414</v>
      </c>
      <c r="G15" s="185">
        <f t="shared" si="0"/>
        <v>142.42559681966594</v>
      </c>
      <c r="H15" s="186">
        <f t="shared" si="1"/>
        <v>-0.35639228754365537</v>
      </c>
      <c r="I15" s="187">
        <f t="shared" si="2"/>
        <v>-0.36715874814011573</v>
      </c>
    </row>
    <row r="16" spans="1:9" x14ac:dyDescent="0.35">
      <c r="A16" s="183">
        <v>1938</v>
      </c>
      <c r="B16" s="184">
        <v>0.29282654028436017</v>
      </c>
      <c r="C16" s="184">
        <v>7.7499999999999997E-4</v>
      </c>
      <c r="D16" s="184">
        <v>4.2132485322046068E-2</v>
      </c>
      <c r="E16" s="185">
        <f t="shared" si="0"/>
        <v>121.53172913465568</v>
      </c>
      <c r="F16" s="185">
        <f t="shared" si="0"/>
        <v>117.28515587236059</v>
      </c>
      <c r="G16" s="185">
        <f t="shared" si="0"/>
        <v>148.42634118715418</v>
      </c>
      <c r="H16" s="186">
        <f t="shared" si="1"/>
        <v>0.29205154028436014</v>
      </c>
      <c r="I16" s="187">
        <f t="shared" si="2"/>
        <v>0.25069405496231412</v>
      </c>
    </row>
    <row r="17" spans="1:9" x14ac:dyDescent="0.35">
      <c r="A17" s="183">
        <v>1939</v>
      </c>
      <c r="B17" s="184">
        <v>-1.0975646879756443E-2</v>
      </c>
      <c r="C17" s="184">
        <v>3.7500000000000006E-4</v>
      </c>
      <c r="D17" s="184">
        <v>4.4122613942060671E-2</v>
      </c>
      <c r="E17" s="185">
        <f t="shared" si="0"/>
        <v>120.19783979098749</v>
      </c>
      <c r="F17" s="185">
        <f t="shared" si="0"/>
        <v>117.32913780581272</v>
      </c>
      <c r="G17" s="185">
        <f t="shared" si="0"/>
        <v>154.97529933818757</v>
      </c>
      <c r="H17" s="186">
        <f t="shared" si="1"/>
        <v>-1.1350646879756444E-2</v>
      </c>
      <c r="I17" s="187">
        <f t="shared" si="2"/>
        <v>-5.509826082181711E-2</v>
      </c>
    </row>
    <row r="18" spans="1:9" x14ac:dyDescent="0.35">
      <c r="A18" s="183">
        <v>1940</v>
      </c>
      <c r="B18" s="184">
        <v>-0.10672873194221515</v>
      </c>
      <c r="C18" s="184">
        <v>2.5000000000000001E-4</v>
      </c>
      <c r="D18" s="184">
        <v>5.4024815962845509E-2</v>
      </c>
      <c r="E18" s="185">
        <f t="shared" si="0"/>
        <v>107.36927676790187</v>
      </c>
      <c r="F18" s="185">
        <f t="shared" si="0"/>
        <v>117.35847009026418</v>
      </c>
      <c r="G18" s="185">
        <f t="shared" si="0"/>
        <v>163.34781136372007</v>
      </c>
      <c r="H18" s="186">
        <f t="shared" si="1"/>
        <v>-0.10697873194221515</v>
      </c>
      <c r="I18" s="187">
        <f t="shared" si="2"/>
        <v>-0.16075354790506066</v>
      </c>
    </row>
    <row r="19" spans="1:9" x14ac:dyDescent="0.35">
      <c r="A19" s="183">
        <v>1941</v>
      </c>
      <c r="B19" s="184">
        <v>-0.12771455576559551</v>
      </c>
      <c r="C19" s="184">
        <v>8.2499999999999989E-4</v>
      </c>
      <c r="D19" s="184">
        <v>-2.0221975848580105E-2</v>
      </c>
      <c r="E19" s="185">
        <f t="shared" si="0"/>
        <v>93.656657282615996</v>
      </c>
      <c r="F19" s="185">
        <f t="shared" si="0"/>
        <v>117.45529082808865</v>
      </c>
      <c r="G19" s="185">
        <f t="shared" si="0"/>
        <v>160.0445958674045</v>
      </c>
      <c r="H19" s="186">
        <f t="shared" si="1"/>
        <v>-0.1285395557655955</v>
      </c>
      <c r="I19" s="187">
        <f t="shared" si="2"/>
        <v>-0.10749257991701541</v>
      </c>
    </row>
    <row r="20" spans="1:9" x14ac:dyDescent="0.35">
      <c r="A20" s="183">
        <v>1942</v>
      </c>
      <c r="B20" s="184">
        <v>0.19173762945914843</v>
      </c>
      <c r="C20" s="184">
        <v>3.3750000000000004E-3</v>
      </c>
      <c r="D20" s="184">
        <v>2.2948682374484164E-2</v>
      </c>
      <c r="E20" s="185">
        <f t="shared" si="0"/>
        <v>111.61416273305268</v>
      </c>
      <c r="F20" s="185">
        <f t="shared" si="0"/>
        <v>117.85170243463344</v>
      </c>
      <c r="G20" s="185">
        <f t="shared" si="0"/>
        <v>163.71740846371824</v>
      </c>
      <c r="H20" s="186">
        <f t="shared" si="1"/>
        <v>0.18836262945914845</v>
      </c>
      <c r="I20" s="187">
        <f t="shared" si="2"/>
        <v>0.16878894708466427</v>
      </c>
    </row>
    <row r="21" spans="1:9" x14ac:dyDescent="0.35">
      <c r="A21" s="183">
        <v>1943</v>
      </c>
      <c r="B21" s="184">
        <v>0.25061310133060394</v>
      </c>
      <c r="C21" s="184">
        <v>3.8E-3</v>
      </c>
      <c r="D21" s="184">
        <v>2.4899999999999999E-2</v>
      </c>
      <c r="E21" s="185">
        <f t="shared" si="0"/>
        <v>139.58613420800171</v>
      </c>
      <c r="F21" s="185">
        <f t="shared" si="0"/>
        <v>118.29953890388505</v>
      </c>
      <c r="G21" s="185">
        <f t="shared" si="0"/>
        <v>167.79397193446482</v>
      </c>
      <c r="H21" s="186">
        <f t="shared" si="1"/>
        <v>0.24681310133060394</v>
      </c>
      <c r="I21" s="187">
        <f t="shared" si="2"/>
        <v>0.22571310133060393</v>
      </c>
    </row>
    <row r="22" spans="1:9" x14ac:dyDescent="0.35">
      <c r="A22" s="183">
        <v>1944</v>
      </c>
      <c r="B22" s="184">
        <v>0.19030676949443009</v>
      </c>
      <c r="C22" s="184">
        <v>3.8E-3</v>
      </c>
      <c r="D22" s="184">
        <v>2.5776111579070303E-2</v>
      </c>
      <c r="E22" s="185">
        <f t="shared" si="0"/>
        <v>166.15032047534245</v>
      </c>
      <c r="F22" s="185">
        <f t="shared" si="0"/>
        <v>118.74907715171982</v>
      </c>
      <c r="G22" s="185">
        <f t="shared" si="0"/>
        <v>172.11904807734297</v>
      </c>
      <c r="H22" s="186">
        <f t="shared" si="1"/>
        <v>0.1865067694944301</v>
      </c>
      <c r="I22" s="187">
        <f t="shared" si="2"/>
        <v>0.16453065791535978</v>
      </c>
    </row>
    <row r="23" spans="1:9" x14ac:dyDescent="0.35">
      <c r="A23" s="183">
        <v>1945</v>
      </c>
      <c r="B23" s="184">
        <v>0.35821084337349401</v>
      </c>
      <c r="C23" s="184">
        <v>3.8E-3</v>
      </c>
      <c r="D23" s="184">
        <v>3.8044173419237229E-2</v>
      </c>
      <c r="E23" s="185">
        <f t="shared" ref="E23:G38" si="3">E22*(1+B23)</f>
        <v>225.66716689959119</v>
      </c>
      <c r="F23" s="185">
        <f t="shared" si="3"/>
        <v>119.20032364489636</v>
      </c>
      <c r="G23" s="185">
        <f t="shared" si="3"/>
        <v>178.66717499115143</v>
      </c>
      <c r="H23" s="186">
        <f t="shared" si="1"/>
        <v>0.35441084337349399</v>
      </c>
      <c r="I23" s="187">
        <f t="shared" si="2"/>
        <v>0.3201666699542568</v>
      </c>
    </row>
    <row r="24" spans="1:9" x14ac:dyDescent="0.35">
      <c r="A24" s="183">
        <v>1946</v>
      </c>
      <c r="B24" s="184">
        <v>-8.4291474654377807E-2</v>
      </c>
      <c r="C24" s="184">
        <v>3.8E-3</v>
      </c>
      <c r="D24" s="184">
        <v>3.1283745375695685E-2</v>
      </c>
      <c r="E24" s="185">
        <f t="shared" si="3"/>
        <v>206.64534862054904</v>
      </c>
      <c r="F24" s="185">
        <f t="shared" si="3"/>
        <v>119.65328487474697</v>
      </c>
      <c r="G24" s="185">
        <f t="shared" si="3"/>
        <v>184.25655340056949</v>
      </c>
      <c r="H24" s="186">
        <f t="shared" si="1"/>
        <v>-8.8091474654377805E-2</v>
      </c>
      <c r="I24" s="187">
        <f t="shared" si="2"/>
        <v>-0.11557522003007349</v>
      </c>
    </row>
    <row r="25" spans="1:9" x14ac:dyDescent="0.35">
      <c r="A25" s="183">
        <v>1947</v>
      </c>
      <c r="B25" s="184">
        <v>5.1999999999999998E-2</v>
      </c>
      <c r="C25" s="184">
        <v>5.6750000000000004E-3</v>
      </c>
      <c r="D25" s="184">
        <v>9.1969680628322358E-3</v>
      </c>
      <c r="E25" s="185">
        <f t="shared" si="3"/>
        <v>217.3909067488176</v>
      </c>
      <c r="F25" s="185">
        <f t="shared" si="3"/>
        <v>120.33231726641117</v>
      </c>
      <c r="G25" s="185">
        <f t="shared" si="3"/>
        <v>185.95115503756207</v>
      </c>
      <c r="H25" s="186">
        <f t="shared" si="1"/>
        <v>4.6324999999999998E-2</v>
      </c>
      <c r="I25" s="187">
        <f t="shared" si="2"/>
        <v>4.2803031937167765E-2</v>
      </c>
    </row>
    <row r="26" spans="1:9" x14ac:dyDescent="0.35">
      <c r="A26" s="183">
        <v>1948</v>
      </c>
      <c r="B26" s="184">
        <v>5.7045751633986834E-2</v>
      </c>
      <c r="C26" s="184">
        <v>1.0225E-2</v>
      </c>
      <c r="D26" s="184">
        <v>1.9510369413175046E-2</v>
      </c>
      <c r="E26" s="185">
        <f t="shared" si="3"/>
        <v>229.79213442269784</v>
      </c>
      <c r="F26" s="185">
        <f t="shared" si="3"/>
        <v>121.56271521046021</v>
      </c>
      <c r="G26" s="185">
        <f t="shared" si="3"/>
        <v>189.57913076515149</v>
      </c>
      <c r="H26" s="186">
        <f t="shared" si="1"/>
        <v>4.6820751633986836E-2</v>
      </c>
      <c r="I26" s="187">
        <f t="shared" si="2"/>
        <v>3.7535382220811792E-2</v>
      </c>
    </row>
    <row r="27" spans="1:9" x14ac:dyDescent="0.35">
      <c r="A27" s="183">
        <v>1949</v>
      </c>
      <c r="B27" s="184">
        <v>0.18303223684210526</v>
      </c>
      <c r="C27" s="184">
        <v>1.1025E-2</v>
      </c>
      <c r="D27" s="184">
        <v>4.6634851827973139E-2</v>
      </c>
      <c r="E27" s="185">
        <f t="shared" si="3"/>
        <v>271.85150279480598</v>
      </c>
      <c r="F27" s="185">
        <f t="shared" si="3"/>
        <v>122.90294414565554</v>
      </c>
      <c r="G27" s="185">
        <f t="shared" si="3"/>
        <v>198.42012543806027</v>
      </c>
      <c r="H27" s="186">
        <f t="shared" si="1"/>
        <v>0.17200723684210525</v>
      </c>
      <c r="I27" s="187">
        <f t="shared" si="2"/>
        <v>0.13639738501413212</v>
      </c>
    </row>
    <row r="28" spans="1:9" x14ac:dyDescent="0.35">
      <c r="A28" s="183">
        <v>1950</v>
      </c>
      <c r="B28" s="184">
        <v>0.30805539011316263</v>
      </c>
      <c r="C28" s="184">
        <v>1.1724999999999999E-2</v>
      </c>
      <c r="D28" s="184">
        <v>4.2959574171096103E-3</v>
      </c>
      <c r="E28" s="185">
        <f t="shared" si="3"/>
        <v>355.59682354110947</v>
      </c>
      <c r="F28" s="185">
        <f t="shared" si="3"/>
        <v>124.34398116576335</v>
      </c>
      <c r="G28" s="185">
        <f t="shared" si="3"/>
        <v>199.2725298476397</v>
      </c>
      <c r="H28" s="186">
        <f t="shared" si="1"/>
        <v>0.29633039011316264</v>
      </c>
      <c r="I28" s="187">
        <f t="shared" si="2"/>
        <v>0.30375943269605304</v>
      </c>
    </row>
    <row r="29" spans="1:9" x14ac:dyDescent="0.35">
      <c r="A29" s="183">
        <v>1951</v>
      </c>
      <c r="B29" s="184">
        <v>0.23678463044542339</v>
      </c>
      <c r="C29" s="184">
        <v>1.4775E-2</v>
      </c>
      <c r="D29" s="184">
        <v>-2.9531392208319886E-3</v>
      </c>
      <c r="E29" s="185">
        <f t="shared" si="3"/>
        <v>439.7966859908575</v>
      </c>
      <c r="F29" s="185">
        <f t="shared" si="3"/>
        <v>126.18116348748751</v>
      </c>
      <c r="G29" s="185">
        <f t="shared" si="3"/>
        <v>198.68405032411223</v>
      </c>
      <c r="H29" s="186">
        <f t="shared" si="1"/>
        <v>0.22200963044542338</v>
      </c>
      <c r="I29" s="187">
        <f t="shared" si="2"/>
        <v>0.23973776966625537</v>
      </c>
    </row>
    <row r="30" spans="1:9" x14ac:dyDescent="0.35">
      <c r="A30" s="183">
        <v>1952</v>
      </c>
      <c r="B30" s="184">
        <v>0.18150988641144306</v>
      </c>
      <c r="C30" s="184">
        <v>1.6725E-2</v>
      </c>
      <c r="D30" s="184">
        <v>2.2679961918305656E-2</v>
      </c>
      <c r="E30" s="185">
        <f t="shared" si="3"/>
        <v>519.62413250918712</v>
      </c>
      <c r="F30" s="185">
        <f t="shared" si="3"/>
        <v>128.29154344681575</v>
      </c>
      <c r="G30" s="185">
        <f t="shared" si="3"/>
        <v>203.19019701923781</v>
      </c>
      <c r="H30" s="186">
        <f t="shared" si="1"/>
        <v>0.16478488641144307</v>
      </c>
      <c r="I30" s="187">
        <f t="shared" si="2"/>
        <v>0.1588299244931374</v>
      </c>
    </row>
    <row r="31" spans="1:9" x14ac:dyDescent="0.35">
      <c r="A31" s="183">
        <v>1953</v>
      </c>
      <c r="B31" s="184">
        <v>-1.2082047421904465E-2</v>
      </c>
      <c r="C31" s="184">
        <v>1.8925000000000001E-2</v>
      </c>
      <c r="D31" s="184">
        <v>4.1438402589088513E-2</v>
      </c>
      <c r="E31" s="185">
        <f t="shared" si="3"/>
        <v>513.34600909864514</v>
      </c>
      <c r="F31" s="185">
        <f t="shared" si="3"/>
        <v>130.71946090654674</v>
      </c>
      <c r="G31" s="185">
        <f t="shared" si="3"/>
        <v>211.61007420547722</v>
      </c>
      <c r="H31" s="186">
        <f t="shared" si="1"/>
        <v>-3.1007047421904466E-2</v>
      </c>
      <c r="I31" s="187">
        <f t="shared" si="2"/>
        <v>-5.3520450010992981E-2</v>
      </c>
    </row>
    <row r="32" spans="1:9" x14ac:dyDescent="0.35">
      <c r="A32" s="183">
        <v>1954</v>
      </c>
      <c r="B32" s="184">
        <v>0.52563321241434902</v>
      </c>
      <c r="C32" s="184">
        <v>9.6249999999999999E-3</v>
      </c>
      <c r="D32" s="184">
        <v>3.2898034558095555E-2</v>
      </c>
      <c r="E32" s="185">
        <f t="shared" si="3"/>
        <v>783.17772094125166</v>
      </c>
      <c r="F32" s="185">
        <f t="shared" si="3"/>
        <v>131.97763571777224</v>
      </c>
      <c r="G32" s="185">
        <f t="shared" si="3"/>
        <v>218.57162973953018</v>
      </c>
      <c r="H32" s="186">
        <f t="shared" si="1"/>
        <v>0.51600821241434902</v>
      </c>
      <c r="I32" s="187">
        <f t="shared" si="2"/>
        <v>0.49273517785625348</v>
      </c>
    </row>
    <row r="33" spans="1:10" x14ac:dyDescent="0.35">
      <c r="A33" s="183">
        <v>1955</v>
      </c>
      <c r="B33" s="184">
        <v>0.32597331851028349</v>
      </c>
      <c r="C33" s="184">
        <v>1.66E-2</v>
      </c>
      <c r="D33" s="184">
        <v>-1.3364391288618781E-2</v>
      </c>
      <c r="E33" s="185">
        <f t="shared" si="3"/>
        <v>1038.4727616197922</v>
      </c>
      <c r="F33" s="185">
        <f t="shared" si="3"/>
        <v>134.16846447068727</v>
      </c>
      <c r="G33" s="185">
        <f t="shared" si="3"/>
        <v>215.65055295509998</v>
      </c>
      <c r="H33" s="186">
        <f t="shared" si="1"/>
        <v>0.30937331851028349</v>
      </c>
      <c r="I33" s="187">
        <f t="shared" si="2"/>
        <v>0.33933770979890227</v>
      </c>
    </row>
    <row r="34" spans="1:10" x14ac:dyDescent="0.35">
      <c r="A34" s="183">
        <v>1956</v>
      </c>
      <c r="B34" s="184">
        <v>7.4395118733509347E-2</v>
      </c>
      <c r="C34" s="184">
        <v>2.5550000000000003E-2</v>
      </c>
      <c r="D34" s="184">
        <v>-2.2557738173154165E-2</v>
      </c>
      <c r="E34" s="185">
        <f t="shared" si="3"/>
        <v>1115.7300660220119</v>
      </c>
      <c r="F34" s="185">
        <f t="shared" si="3"/>
        <v>137.59646873791331</v>
      </c>
      <c r="G34" s="185">
        <f t="shared" si="3"/>
        <v>210.78596424464291</v>
      </c>
      <c r="H34" s="186">
        <f t="shared" si="1"/>
        <v>4.8845118733509343E-2</v>
      </c>
      <c r="I34" s="187">
        <f t="shared" si="2"/>
        <v>9.6952856906663512E-2</v>
      </c>
    </row>
    <row r="35" spans="1:10" x14ac:dyDescent="0.35">
      <c r="A35" s="183">
        <v>1957</v>
      </c>
      <c r="B35" s="184">
        <v>-0.1045736018855796</v>
      </c>
      <c r="C35" s="184">
        <v>3.2300000000000002E-2</v>
      </c>
      <c r="D35" s="184">
        <v>6.7970128466249904E-2</v>
      </c>
      <c r="E35" s="185">
        <f t="shared" si="3"/>
        <v>999.05415428605454</v>
      </c>
      <c r="F35" s="185">
        <f t="shared" si="3"/>
        <v>142.04083467814792</v>
      </c>
      <c r="G35" s="185">
        <f t="shared" si="3"/>
        <v>225.11311331323367</v>
      </c>
      <c r="H35" s="186">
        <f t="shared" si="1"/>
        <v>-0.13687360188557959</v>
      </c>
      <c r="I35" s="187">
        <f t="shared" si="2"/>
        <v>-0.17254373035182952</v>
      </c>
    </row>
    <row r="36" spans="1:10" x14ac:dyDescent="0.35">
      <c r="A36" s="183">
        <v>1958</v>
      </c>
      <c r="B36" s="184">
        <v>0.43719954988747184</v>
      </c>
      <c r="C36" s="184">
        <v>1.7774999999999999E-2</v>
      </c>
      <c r="D36" s="184">
        <v>-2.0990181755274694E-2</v>
      </c>
      <c r="E36" s="185">
        <f t="shared" si="3"/>
        <v>1435.8401808531264</v>
      </c>
      <c r="F36" s="185">
        <f t="shared" si="3"/>
        <v>144.56561051455202</v>
      </c>
      <c r="G36" s="185">
        <f t="shared" si="3"/>
        <v>220.38794814929315</v>
      </c>
      <c r="H36" s="186">
        <f t="shared" si="1"/>
        <v>0.41942454988747185</v>
      </c>
      <c r="I36" s="187">
        <f t="shared" si="2"/>
        <v>0.45818973164274651</v>
      </c>
    </row>
    <row r="37" spans="1:10" x14ac:dyDescent="0.35">
      <c r="A37" s="183">
        <v>1959</v>
      </c>
      <c r="B37" s="184">
        <v>0.12056457163557326</v>
      </c>
      <c r="C37" s="184">
        <v>3.2549999999999996E-2</v>
      </c>
      <c r="D37" s="184">
        <v>-2.6466312591385065E-2</v>
      </c>
      <c r="E37" s="185">
        <f t="shared" si="3"/>
        <v>1608.9516371948275</v>
      </c>
      <c r="F37" s="185">
        <f t="shared" si="3"/>
        <v>149.2712211368007</v>
      </c>
      <c r="G37" s="185">
        <f t="shared" si="3"/>
        <v>214.55509182219998</v>
      </c>
      <c r="H37" s="186">
        <f t="shared" si="1"/>
        <v>8.801457163557326E-2</v>
      </c>
      <c r="I37" s="187">
        <f t="shared" si="2"/>
        <v>0.14703088422695831</v>
      </c>
    </row>
    <row r="38" spans="1:10" x14ac:dyDescent="0.35">
      <c r="A38" s="183">
        <v>1960</v>
      </c>
      <c r="B38" s="184">
        <v>3.36535314743695E-3</v>
      </c>
      <c r="C38" s="184">
        <v>3.0449999999999998E-2</v>
      </c>
      <c r="D38" s="184">
        <v>0.11639503690963365</v>
      </c>
      <c r="E38" s="185">
        <f t="shared" si="3"/>
        <v>1614.366327651135</v>
      </c>
      <c r="F38" s="185">
        <f t="shared" si="3"/>
        <v>153.81652982041629</v>
      </c>
      <c r="G38" s="185">
        <f t="shared" si="3"/>
        <v>239.52823965399477</v>
      </c>
      <c r="H38" s="186">
        <f t="shared" si="1"/>
        <v>-2.7084646852563048E-2</v>
      </c>
      <c r="I38" s="187">
        <f t="shared" si="2"/>
        <v>-0.1130296837621967</v>
      </c>
      <c r="J38" s="186">
        <f>((E38/100)^(1/(A38-$A$6+1)))-((G38/100)^(1/(A38-$A$6+1)))</f>
        <v>6.1119788031217315E-2</v>
      </c>
    </row>
    <row r="39" spans="1:10" x14ac:dyDescent="0.35">
      <c r="A39" s="183">
        <v>1961</v>
      </c>
      <c r="B39" s="184">
        <v>0.26637712958182752</v>
      </c>
      <c r="C39" s="184">
        <v>2.2675000000000001E-2</v>
      </c>
      <c r="D39" s="184">
        <v>2.0609208076323167E-2</v>
      </c>
      <c r="E39" s="185">
        <f t="shared" ref="E39:G54" si="4">E38*(1+B39)</f>
        <v>2044.3965961044005</v>
      </c>
      <c r="F39" s="185">
        <f t="shared" si="4"/>
        <v>157.30431963409424</v>
      </c>
      <c r="G39" s="185">
        <f t="shared" si="4"/>
        <v>244.46472698517934</v>
      </c>
      <c r="H39" s="186">
        <f t="shared" si="1"/>
        <v>0.24370212958182752</v>
      </c>
      <c r="I39" s="187">
        <f t="shared" si="2"/>
        <v>0.24576792150550436</v>
      </c>
      <c r="J39" s="186">
        <f t="shared" ref="J39:J87" si="5">((E39/100)^(1/(A39-$A$6+1)))-((G39/100)^(1/(A39-$A$6+1)))</f>
        <v>6.6173591829972622E-2</v>
      </c>
    </row>
    <row r="40" spans="1:10" x14ac:dyDescent="0.35">
      <c r="A40" s="183">
        <v>1962</v>
      </c>
      <c r="B40" s="184">
        <v>-8.8114605171208879E-2</v>
      </c>
      <c r="C40" s="184">
        <v>2.7775000000000005E-2</v>
      </c>
      <c r="D40" s="184">
        <v>5.693544054008462E-2</v>
      </c>
      <c r="E40" s="185">
        <f t="shared" si="4"/>
        <v>1864.2553972252979</v>
      </c>
      <c r="F40" s="185">
        <f t="shared" si="4"/>
        <v>161.67344711193124</v>
      </c>
      <c r="G40" s="185">
        <f t="shared" si="4"/>
        <v>258.38343391259201</v>
      </c>
      <c r="H40" s="186">
        <f t="shared" si="1"/>
        <v>-0.11588960517120889</v>
      </c>
      <c r="I40" s="187">
        <f t="shared" si="2"/>
        <v>-0.14505004571129348</v>
      </c>
      <c r="J40" s="186">
        <f t="shared" si="5"/>
        <v>5.9683465378989942E-2</v>
      </c>
    </row>
    <row r="41" spans="1:10" x14ac:dyDescent="0.35">
      <c r="A41" s="183">
        <v>1963</v>
      </c>
      <c r="B41" s="184">
        <v>0.22611927099841514</v>
      </c>
      <c r="C41" s="184">
        <v>3.1100000000000003E-2</v>
      </c>
      <c r="D41" s="184">
        <v>1.6841620739546127E-2</v>
      </c>
      <c r="E41" s="185">
        <f t="shared" si="4"/>
        <v>2285.7994686007432</v>
      </c>
      <c r="F41" s="185">
        <f t="shared" si="4"/>
        <v>166.70149131711227</v>
      </c>
      <c r="G41" s="185">
        <f t="shared" si="4"/>
        <v>262.73502971192949</v>
      </c>
      <c r="H41" s="186">
        <f t="shared" si="1"/>
        <v>0.19501927099841515</v>
      </c>
      <c r="I41" s="187">
        <f t="shared" si="2"/>
        <v>0.20927765025886902</v>
      </c>
      <c r="J41" s="186">
        <f t="shared" si="5"/>
        <v>6.3618993911514821E-2</v>
      </c>
    </row>
    <row r="42" spans="1:10" x14ac:dyDescent="0.35">
      <c r="A42" s="183">
        <v>1964</v>
      </c>
      <c r="B42" s="184">
        <v>0.16415455878432425</v>
      </c>
      <c r="C42" s="184">
        <v>3.5049999999999998E-2</v>
      </c>
      <c r="D42" s="184">
        <v>3.7280648911540815E-2</v>
      </c>
      <c r="E42" s="185">
        <f t="shared" si="4"/>
        <v>2661.0238718383412</v>
      </c>
      <c r="F42" s="185">
        <f t="shared" si="4"/>
        <v>172.54437858777706</v>
      </c>
      <c r="G42" s="185">
        <f t="shared" si="4"/>
        <v>272.52996211138321</v>
      </c>
      <c r="H42" s="186">
        <f t="shared" si="1"/>
        <v>0.12910455878432425</v>
      </c>
      <c r="I42" s="187">
        <f t="shared" si="2"/>
        <v>0.12687390987278344</v>
      </c>
      <c r="J42" s="186">
        <f t="shared" si="5"/>
        <v>6.5267777442658215E-2</v>
      </c>
    </row>
    <row r="43" spans="1:10" x14ac:dyDescent="0.35">
      <c r="A43" s="183">
        <v>1965</v>
      </c>
      <c r="B43" s="184">
        <v>0.12399242477876114</v>
      </c>
      <c r="C43" s="184">
        <v>3.9024999999999997E-2</v>
      </c>
      <c r="D43" s="184">
        <v>7.1885509359262342E-3</v>
      </c>
      <c r="E43" s="185">
        <f t="shared" si="4"/>
        <v>2990.9706741017444</v>
      </c>
      <c r="F43" s="185">
        <f t="shared" si="4"/>
        <v>179.27792296216506</v>
      </c>
      <c r="G43" s="185">
        <f t="shared" si="4"/>
        <v>274.48905762558695</v>
      </c>
      <c r="H43" s="186">
        <f t="shared" si="1"/>
        <v>8.4967424778761153E-2</v>
      </c>
      <c r="I43" s="187">
        <f t="shared" si="2"/>
        <v>0.11680387384283492</v>
      </c>
      <c r="J43" s="186">
        <f t="shared" si="5"/>
        <v>6.6617941689874449E-2</v>
      </c>
    </row>
    <row r="44" spans="1:10" x14ac:dyDescent="0.35">
      <c r="A44" s="183">
        <v>1966</v>
      </c>
      <c r="B44" s="184">
        <v>-9.9709542356377898E-2</v>
      </c>
      <c r="C44" s="184">
        <v>4.8399999999999999E-2</v>
      </c>
      <c r="D44" s="184">
        <v>2.9079409324299622E-2</v>
      </c>
      <c r="E44" s="185">
        <f t="shared" si="4"/>
        <v>2692.7423569857124</v>
      </c>
      <c r="F44" s="185">
        <f t="shared" si="4"/>
        <v>187.95497443353386</v>
      </c>
      <c r="G44" s="185">
        <f t="shared" si="4"/>
        <v>282.47103728732264</v>
      </c>
      <c r="H44" s="186">
        <f t="shared" si="1"/>
        <v>-0.14810954235637791</v>
      </c>
      <c r="I44" s="187">
        <f t="shared" si="2"/>
        <v>-0.12878895168067753</v>
      </c>
      <c r="J44" s="186">
        <f t="shared" si="5"/>
        <v>6.1123719679815336E-2</v>
      </c>
    </row>
    <row r="45" spans="1:10" x14ac:dyDescent="0.35">
      <c r="A45" s="183">
        <v>1967</v>
      </c>
      <c r="B45" s="184">
        <v>0.23802966513133328</v>
      </c>
      <c r="C45" s="184">
        <v>4.3324999999999995E-2</v>
      </c>
      <c r="D45" s="184">
        <v>-1.5806209932824666E-2</v>
      </c>
      <c r="E45" s="185">
        <f t="shared" si="4"/>
        <v>3333.6949185039784</v>
      </c>
      <c r="F45" s="185">
        <f t="shared" si="4"/>
        <v>196.09812370086672</v>
      </c>
      <c r="G45" s="185">
        <f t="shared" si="4"/>
        <v>278.0062407720165</v>
      </c>
      <c r="H45" s="186">
        <f t="shared" si="1"/>
        <v>0.19470466513133328</v>
      </c>
      <c r="I45" s="187">
        <f t="shared" si="2"/>
        <v>0.25383587506415795</v>
      </c>
      <c r="J45" s="186">
        <f t="shared" si="5"/>
        <v>6.5732838776739522E-2</v>
      </c>
    </row>
    <row r="46" spans="1:10" x14ac:dyDescent="0.35">
      <c r="A46" s="183">
        <v>1968</v>
      </c>
      <c r="B46" s="184">
        <v>0.10814862651601535</v>
      </c>
      <c r="C46" s="184">
        <v>5.2600000000000001E-2</v>
      </c>
      <c r="D46" s="184">
        <v>3.2746196950768365E-2</v>
      </c>
      <c r="E46" s="185">
        <f t="shared" si="4"/>
        <v>3694.2294451636035</v>
      </c>
      <c r="F46" s="185">
        <f t="shared" si="4"/>
        <v>206.41288500753231</v>
      </c>
      <c r="G46" s="185">
        <f t="shared" si="4"/>
        <v>287.10988788587969</v>
      </c>
      <c r="H46" s="186">
        <f t="shared" si="1"/>
        <v>5.5548626516015352E-2</v>
      </c>
      <c r="I46" s="187">
        <f t="shared" si="2"/>
        <v>7.5402429565246981E-2</v>
      </c>
      <c r="J46" s="186">
        <f t="shared" si="5"/>
        <v>6.596627828748769E-2</v>
      </c>
    </row>
    <row r="47" spans="1:10" x14ac:dyDescent="0.35">
      <c r="A47" s="183">
        <v>1969</v>
      </c>
      <c r="B47" s="184">
        <v>-8.2413710764490639E-2</v>
      </c>
      <c r="C47" s="184">
        <v>6.5625000000000003E-2</v>
      </c>
      <c r="D47" s="184">
        <v>-5.0140493209926106E-2</v>
      </c>
      <c r="E47" s="185">
        <f t="shared" si="4"/>
        <v>3389.7742881722256</v>
      </c>
      <c r="F47" s="185">
        <f t="shared" si="4"/>
        <v>219.95873058615163</v>
      </c>
      <c r="G47" s="185">
        <f t="shared" si="4"/>
        <v>272.7140565018351</v>
      </c>
      <c r="H47" s="186">
        <f t="shared" si="1"/>
        <v>-0.14803871076449066</v>
      </c>
      <c r="I47" s="187">
        <f t="shared" si="2"/>
        <v>-3.2273217554564533E-2</v>
      </c>
      <c r="J47" s="186">
        <f t="shared" si="5"/>
        <v>6.3333872734198771E-2</v>
      </c>
    </row>
    <row r="48" spans="1:10" x14ac:dyDescent="0.35">
      <c r="A48" s="183">
        <v>1970</v>
      </c>
      <c r="B48" s="184">
        <v>3.5611449054964189E-2</v>
      </c>
      <c r="C48" s="184">
        <v>6.6849999999999993E-2</v>
      </c>
      <c r="D48" s="184">
        <v>0.16754737183412338</v>
      </c>
      <c r="E48" s="185">
        <f t="shared" si="4"/>
        <v>3510.4890625432981</v>
      </c>
      <c r="F48" s="185">
        <f t="shared" si="4"/>
        <v>234.66297172583589</v>
      </c>
      <c r="G48" s="185">
        <f t="shared" si="4"/>
        <v>318.40657993094021</v>
      </c>
      <c r="H48" s="186">
        <f t="shared" si="1"/>
        <v>-3.1238550945035803E-2</v>
      </c>
      <c r="I48" s="187">
        <f t="shared" si="2"/>
        <v>-0.13193592277915919</v>
      </c>
      <c r="J48" s="186">
        <f t="shared" si="5"/>
        <v>5.8972566666315007E-2</v>
      </c>
    </row>
    <row r="49" spans="1:10" x14ac:dyDescent="0.35">
      <c r="A49" s="183">
        <v>1971</v>
      </c>
      <c r="B49" s="184">
        <v>0.14221150298426474</v>
      </c>
      <c r="C49" s="184">
        <v>4.5400000000000003E-2</v>
      </c>
      <c r="D49" s="184">
        <v>9.7868966197122972E-2</v>
      </c>
      <c r="E49" s="185">
        <f t="shared" si="4"/>
        <v>4009.720988337403</v>
      </c>
      <c r="F49" s="185">
        <f t="shared" si="4"/>
        <v>245.31667064218885</v>
      </c>
      <c r="G49" s="185">
        <f t="shared" si="4"/>
        <v>349.56870273914296</v>
      </c>
      <c r="H49" s="186">
        <f t="shared" si="1"/>
        <v>9.6811502984264747E-2</v>
      </c>
      <c r="I49" s="187">
        <f t="shared" si="2"/>
        <v>4.434253678714177E-2</v>
      </c>
      <c r="J49" s="186">
        <f t="shared" si="5"/>
        <v>5.8660636809878541E-2</v>
      </c>
    </row>
    <row r="50" spans="1:10" x14ac:dyDescent="0.35">
      <c r="A50" s="183">
        <v>1972</v>
      </c>
      <c r="B50" s="184">
        <v>0.18755362915074925</v>
      </c>
      <c r="C50" s="184">
        <v>3.9525000000000005E-2</v>
      </c>
      <c r="D50" s="184">
        <v>2.818449050444969E-2</v>
      </c>
      <c r="E50" s="185">
        <f t="shared" si="4"/>
        <v>4761.7587115820115</v>
      </c>
      <c r="F50" s="185">
        <f t="shared" si="4"/>
        <v>255.01281204932138</v>
      </c>
      <c r="G50" s="185">
        <f t="shared" si="4"/>
        <v>359.42111852214714</v>
      </c>
      <c r="H50" s="186">
        <f t="shared" si="1"/>
        <v>0.14802862915074924</v>
      </c>
      <c r="I50" s="187">
        <f t="shared" si="2"/>
        <v>0.15936913864629956</v>
      </c>
      <c r="J50" s="186">
        <f t="shared" si="5"/>
        <v>6.0804303728189568E-2</v>
      </c>
    </row>
    <row r="51" spans="1:10" x14ac:dyDescent="0.35">
      <c r="A51" s="183">
        <v>1973</v>
      </c>
      <c r="B51" s="184">
        <v>-0.14308047437526472</v>
      </c>
      <c r="C51" s="184">
        <v>6.724999999999999E-2</v>
      </c>
      <c r="D51" s="184">
        <v>3.6586646024150085E-2</v>
      </c>
      <c r="E51" s="185">
        <f t="shared" si="4"/>
        <v>4080.4440162683081</v>
      </c>
      <c r="F51" s="185">
        <f t="shared" si="4"/>
        <v>272.16242365963825</v>
      </c>
      <c r="G51" s="185">
        <f t="shared" si="4"/>
        <v>372.57113175912104</v>
      </c>
      <c r="H51" s="186">
        <f t="shared" si="1"/>
        <v>-0.2103304743752647</v>
      </c>
      <c r="I51" s="187">
        <f t="shared" si="2"/>
        <v>-0.17966712039941479</v>
      </c>
      <c r="J51" s="186">
        <f t="shared" si="5"/>
        <v>5.4960045718843054E-2</v>
      </c>
    </row>
    <row r="52" spans="1:10" x14ac:dyDescent="0.35">
      <c r="A52" s="183">
        <v>1974</v>
      </c>
      <c r="B52" s="184">
        <v>-0.25901785750896972</v>
      </c>
      <c r="C52" s="184">
        <v>7.7775000000000011E-2</v>
      </c>
      <c r="D52" s="184">
        <v>1.9886086932378574E-2</v>
      </c>
      <c r="E52" s="185">
        <f t="shared" si="4"/>
        <v>3023.5361494891954</v>
      </c>
      <c r="F52" s="185">
        <f t="shared" si="4"/>
        <v>293.32985615976662</v>
      </c>
      <c r="G52" s="185">
        <f t="shared" si="4"/>
        <v>379.98011367377757</v>
      </c>
      <c r="H52" s="186">
        <f t="shared" si="1"/>
        <v>-0.3367928575089697</v>
      </c>
      <c r="I52" s="187">
        <f t="shared" si="2"/>
        <v>-0.27890394444134831</v>
      </c>
      <c r="J52" s="186">
        <f t="shared" si="5"/>
        <v>4.6417018581159875E-2</v>
      </c>
    </row>
    <row r="53" spans="1:10" x14ac:dyDescent="0.35">
      <c r="A53" s="183">
        <v>1975</v>
      </c>
      <c r="B53" s="184">
        <v>0.36995137106184356</v>
      </c>
      <c r="C53" s="184">
        <v>5.9900000000000002E-2</v>
      </c>
      <c r="D53" s="184">
        <v>3.6052536026033838E-2</v>
      </c>
      <c r="E53" s="185">
        <f t="shared" si="4"/>
        <v>4142.0974934477708</v>
      </c>
      <c r="F53" s="185">
        <f t="shared" si="4"/>
        <v>310.90031454373667</v>
      </c>
      <c r="G53" s="185">
        <f t="shared" si="4"/>
        <v>393.67936041117781</v>
      </c>
      <c r="H53" s="186">
        <f t="shared" si="1"/>
        <v>0.31005137106184355</v>
      </c>
      <c r="I53" s="187">
        <f t="shared" si="2"/>
        <v>0.33389883503580975</v>
      </c>
      <c r="J53" s="186">
        <f t="shared" si="5"/>
        <v>5.1706756781676244E-2</v>
      </c>
    </row>
    <row r="54" spans="1:10" x14ac:dyDescent="0.35">
      <c r="A54" s="183">
        <v>1976</v>
      </c>
      <c r="B54" s="184">
        <v>0.23830999002106662</v>
      </c>
      <c r="C54" s="184">
        <v>4.9700000000000008E-2</v>
      </c>
      <c r="D54" s="184">
        <v>0.1598456074290921</v>
      </c>
      <c r="E54" s="185">
        <f t="shared" si="4"/>
        <v>5129.2007057775936</v>
      </c>
      <c r="F54" s="185">
        <f t="shared" si="4"/>
        <v>326.35206017656043</v>
      </c>
      <c r="G54" s="185">
        <f t="shared" si="4"/>
        <v>456.607276908399</v>
      </c>
      <c r="H54" s="186">
        <f t="shared" si="1"/>
        <v>0.1886099900210666</v>
      </c>
      <c r="I54" s="187">
        <f t="shared" si="2"/>
        <v>7.8464382591974524E-2</v>
      </c>
      <c r="J54" s="186">
        <f t="shared" si="5"/>
        <v>5.2196588038950109E-2</v>
      </c>
    </row>
    <row r="55" spans="1:10" x14ac:dyDescent="0.35">
      <c r="A55" s="183">
        <v>1977</v>
      </c>
      <c r="B55" s="184">
        <v>-6.9797040759352322E-2</v>
      </c>
      <c r="C55" s="184">
        <v>5.1275000000000001E-2</v>
      </c>
      <c r="D55" s="184">
        <v>1.2899606071070449E-2</v>
      </c>
      <c r="E55" s="185">
        <f t="shared" ref="E55:G70" si="6">E54*(1+B55)</f>
        <v>4771.1976750535359</v>
      </c>
      <c r="F55" s="185">
        <f t="shared" si="6"/>
        <v>343.08576206211353</v>
      </c>
      <c r="G55" s="185">
        <f t="shared" si="6"/>
        <v>462.49733090970153</v>
      </c>
      <c r="H55" s="186">
        <f t="shared" si="1"/>
        <v>-0.12107204075935232</v>
      </c>
      <c r="I55" s="187">
        <f t="shared" si="2"/>
        <v>-8.2696646830422771E-2</v>
      </c>
      <c r="J55" s="186">
        <f t="shared" si="5"/>
        <v>4.9266761357046551E-2</v>
      </c>
    </row>
    <row r="56" spans="1:10" x14ac:dyDescent="0.35">
      <c r="A56" s="183">
        <v>1978</v>
      </c>
      <c r="B56" s="184">
        <v>6.50928391167193E-2</v>
      </c>
      <c r="C56" s="184">
        <v>6.9325000000000012E-2</v>
      </c>
      <c r="D56" s="184">
        <v>-7.7758069075086478E-3</v>
      </c>
      <c r="E56" s="185">
        <f t="shared" si="6"/>
        <v>5081.7684777098611</v>
      </c>
      <c r="F56" s="185">
        <f t="shared" si="6"/>
        <v>366.87018251706957</v>
      </c>
      <c r="G56" s="185">
        <f t="shared" si="6"/>
        <v>458.90104096930958</v>
      </c>
      <c r="H56" s="186">
        <f t="shared" si="1"/>
        <v>-4.2321608832807112E-3</v>
      </c>
      <c r="I56" s="187">
        <f t="shared" si="2"/>
        <v>7.2868646024227948E-2</v>
      </c>
      <c r="J56" s="186">
        <f t="shared" si="5"/>
        <v>4.9741898913203242E-2</v>
      </c>
    </row>
    <row r="57" spans="1:10" x14ac:dyDescent="0.35">
      <c r="A57" s="183">
        <v>1979</v>
      </c>
      <c r="B57" s="184">
        <v>0.18519490167516386</v>
      </c>
      <c r="C57" s="184">
        <v>9.9375000000000005E-2</v>
      </c>
      <c r="D57" s="184">
        <v>6.7072031247235459E-3</v>
      </c>
      <c r="E57" s="185">
        <f t="shared" si="6"/>
        <v>6022.8860912752862</v>
      </c>
      <c r="F57" s="185">
        <f t="shared" si="6"/>
        <v>403.32790690470335</v>
      </c>
      <c r="G57" s="185">
        <f t="shared" si="6"/>
        <v>461.97898346523777</v>
      </c>
      <c r="H57" s="186">
        <f t="shared" si="1"/>
        <v>8.5819901675163859E-2</v>
      </c>
      <c r="I57" s="187">
        <f t="shared" si="2"/>
        <v>0.17848769855044033</v>
      </c>
      <c r="J57" s="186">
        <f t="shared" si="5"/>
        <v>5.2132252828986925E-2</v>
      </c>
    </row>
    <row r="58" spans="1:10" x14ac:dyDescent="0.35">
      <c r="A58" s="183">
        <v>1980</v>
      </c>
      <c r="B58" s="184">
        <v>0.3173524550676301</v>
      </c>
      <c r="C58" s="184">
        <v>0.11219999999999999</v>
      </c>
      <c r="D58" s="184">
        <v>-2.989744251999403E-2</v>
      </c>
      <c r="E58" s="185">
        <f t="shared" si="6"/>
        <v>7934.2637789341807</v>
      </c>
      <c r="F58" s="185">
        <f t="shared" si="6"/>
        <v>448.5812980594111</v>
      </c>
      <c r="G58" s="185">
        <f t="shared" si="6"/>
        <v>448.16699336164055</v>
      </c>
      <c r="H58" s="186">
        <f t="shared" si="1"/>
        <v>0.20515245506763011</v>
      </c>
      <c r="I58" s="187">
        <f t="shared" si="2"/>
        <v>0.34724989758762415</v>
      </c>
      <c r="J58" s="186">
        <f t="shared" si="5"/>
        <v>5.7318705257589642E-2</v>
      </c>
    </row>
    <row r="59" spans="1:10" x14ac:dyDescent="0.35">
      <c r="A59" s="183">
        <v>1981</v>
      </c>
      <c r="B59" s="184">
        <v>-4.7023902474955762E-2</v>
      </c>
      <c r="C59" s="184">
        <v>0.14299999999999999</v>
      </c>
      <c r="D59" s="184">
        <v>8.1992153358923542E-2</v>
      </c>
      <c r="E59" s="185">
        <f t="shared" si="6"/>
        <v>7561.1637327830058</v>
      </c>
      <c r="F59" s="185">
        <f t="shared" si="6"/>
        <v>512.72842368190686</v>
      </c>
      <c r="G59" s="185">
        <f t="shared" si="6"/>
        <v>484.91317021175587</v>
      </c>
      <c r="H59" s="186">
        <f t="shared" si="1"/>
        <v>-0.19002390247495576</v>
      </c>
      <c r="I59" s="187">
        <f t="shared" si="2"/>
        <v>-0.12901605583387932</v>
      </c>
      <c r="J59" s="186">
        <f t="shared" si="5"/>
        <v>5.3730990468644491E-2</v>
      </c>
    </row>
    <row r="60" spans="1:10" x14ac:dyDescent="0.35">
      <c r="A60" s="183">
        <v>1982</v>
      </c>
      <c r="B60" s="184">
        <v>0.20419055079559353</v>
      </c>
      <c r="C60" s="184">
        <v>0.1101</v>
      </c>
      <c r="D60" s="184">
        <v>0.32814549486295586</v>
      </c>
      <c r="E60" s="185">
        <f t="shared" si="6"/>
        <v>9105.0819200356327</v>
      </c>
      <c r="F60" s="185">
        <f t="shared" si="6"/>
        <v>569.17982312928484</v>
      </c>
      <c r="G60" s="185">
        <f t="shared" si="6"/>
        <v>644.03524241645721</v>
      </c>
      <c r="H60" s="186">
        <f t="shared" si="1"/>
        <v>9.4090550795593531E-2</v>
      </c>
      <c r="I60" s="187">
        <f t="shared" si="2"/>
        <v>-0.12395494406736232</v>
      </c>
      <c r="J60" s="186">
        <f t="shared" si="5"/>
        <v>5.1038688692139678E-2</v>
      </c>
    </row>
    <row r="61" spans="1:10" x14ac:dyDescent="0.35">
      <c r="A61" s="183">
        <v>1983</v>
      </c>
      <c r="B61" s="184">
        <v>0.22337155858930619</v>
      </c>
      <c r="C61" s="184">
        <v>8.4474999999999995E-2</v>
      </c>
      <c r="D61" s="184">
        <v>3.2002094451429264E-2</v>
      </c>
      <c r="E61" s="185">
        <f t="shared" si="6"/>
        <v>11138.898259597305</v>
      </c>
      <c r="F61" s="185">
        <f t="shared" si="6"/>
        <v>617.26128868813123</v>
      </c>
      <c r="G61" s="185">
        <f t="shared" si="6"/>
        <v>664.64571907431775</v>
      </c>
      <c r="H61" s="186">
        <f t="shared" si="1"/>
        <v>0.13889655858930619</v>
      </c>
      <c r="I61" s="187">
        <f t="shared" si="2"/>
        <v>0.19136946413787692</v>
      </c>
      <c r="J61" s="186">
        <f t="shared" si="5"/>
        <v>5.3402830654563971E-2</v>
      </c>
    </row>
    <row r="62" spans="1:10" x14ac:dyDescent="0.35">
      <c r="A62" s="183">
        <v>1984</v>
      </c>
      <c r="B62" s="184">
        <v>6.14614199963621E-2</v>
      </c>
      <c r="C62" s="184">
        <v>9.6125000000000002E-2</v>
      </c>
      <c r="D62" s="184">
        <v>0.13733364344102345</v>
      </c>
      <c r="E62" s="185">
        <f t="shared" si="6"/>
        <v>11823.510763827162</v>
      </c>
      <c r="F62" s="185">
        <f t="shared" si="6"/>
        <v>676.59553006327781</v>
      </c>
      <c r="G62" s="185">
        <f t="shared" si="6"/>
        <v>755.92393727227272</v>
      </c>
      <c r="H62" s="186">
        <f t="shared" si="1"/>
        <v>-3.4663580003637902E-2</v>
      </c>
      <c r="I62" s="187">
        <f t="shared" si="2"/>
        <v>-7.5872223444661352E-2</v>
      </c>
      <c r="J62" s="186">
        <f t="shared" si="5"/>
        <v>5.1212126318051387E-2</v>
      </c>
    </row>
    <row r="63" spans="1:10" x14ac:dyDescent="0.35">
      <c r="A63" s="183">
        <v>1985</v>
      </c>
      <c r="B63" s="184">
        <v>0.31235149485768948</v>
      </c>
      <c r="C63" s="184">
        <v>7.4874999999999997E-2</v>
      </c>
      <c r="D63" s="184">
        <v>0.2571248821260641</v>
      </c>
      <c r="E63" s="185">
        <f t="shared" si="6"/>
        <v>15516.602025374559</v>
      </c>
      <c r="F63" s="185">
        <f t="shared" si="6"/>
        <v>727.25562037676571</v>
      </c>
      <c r="G63" s="185">
        <f t="shared" si="6"/>
        <v>950.2907905396761</v>
      </c>
      <c r="H63" s="186">
        <f t="shared" si="1"/>
        <v>0.23747649485768949</v>
      </c>
      <c r="I63" s="187">
        <f t="shared" si="2"/>
        <v>5.522661273162538E-2</v>
      </c>
      <c r="J63" s="186">
        <f t="shared" si="5"/>
        <v>5.1284365102581608E-2</v>
      </c>
    </row>
    <row r="64" spans="1:10" x14ac:dyDescent="0.35">
      <c r="A64" s="183">
        <v>1986</v>
      </c>
      <c r="B64" s="184">
        <v>0.18494578758046187</v>
      </c>
      <c r="C64" s="184">
        <v>6.0350000000000001E-2</v>
      </c>
      <c r="D64" s="184">
        <v>0.24284215141767618</v>
      </c>
      <c r="E64" s="185">
        <f t="shared" si="6"/>
        <v>18386.332207530046</v>
      </c>
      <c r="F64" s="185">
        <f t="shared" si="6"/>
        <v>771.14549706650348</v>
      </c>
      <c r="G64" s="185">
        <f t="shared" si="6"/>
        <v>1181.0614505867354</v>
      </c>
      <c r="H64" s="186">
        <f t="shared" si="1"/>
        <v>0.12459578758046187</v>
      </c>
      <c r="I64" s="187">
        <f t="shared" si="2"/>
        <v>-5.7896363837214304E-2</v>
      </c>
      <c r="J64" s="186">
        <f t="shared" si="5"/>
        <v>4.9663565599739057E-2</v>
      </c>
    </row>
    <row r="65" spans="1:10" x14ac:dyDescent="0.35">
      <c r="A65" s="183">
        <v>1987</v>
      </c>
      <c r="B65" s="184">
        <v>5.8127216418218712E-2</v>
      </c>
      <c r="C65" s="184">
        <v>5.7224999999999998E-2</v>
      </c>
      <c r="D65" s="184">
        <v>-4.9605089379262279E-2</v>
      </c>
      <c r="E65" s="185">
        <f t="shared" si="6"/>
        <v>19455.07851889441</v>
      </c>
      <c r="F65" s="185">
        <f t="shared" si="6"/>
        <v>815.27429813613423</v>
      </c>
      <c r="G65" s="185">
        <f t="shared" si="6"/>
        <v>1122.4747917679792</v>
      </c>
      <c r="H65" s="186">
        <f t="shared" si="1"/>
        <v>9.0221641821871396E-4</v>
      </c>
      <c r="I65" s="187">
        <f t="shared" si="2"/>
        <v>0.107732305797481</v>
      </c>
      <c r="J65" s="186">
        <f t="shared" si="5"/>
        <v>5.0693590437507208E-2</v>
      </c>
    </row>
    <row r="66" spans="1:10" x14ac:dyDescent="0.35">
      <c r="A66" s="183">
        <v>1988</v>
      </c>
      <c r="B66" s="184">
        <v>0.16537192812044688</v>
      </c>
      <c r="C66" s="184">
        <v>6.4499999999999988E-2</v>
      </c>
      <c r="D66" s="184">
        <v>8.2235958434841674E-2</v>
      </c>
      <c r="E66" s="185">
        <f t="shared" si="6"/>
        <v>22672.402365298665</v>
      </c>
      <c r="F66" s="185">
        <f t="shared" si="6"/>
        <v>867.85949036591489</v>
      </c>
      <c r="G66" s="185">
        <f t="shared" si="6"/>
        <v>1214.7825820879684</v>
      </c>
      <c r="H66" s="186">
        <f t="shared" si="1"/>
        <v>0.10087192812044689</v>
      </c>
      <c r="I66" s="187">
        <f t="shared" si="2"/>
        <v>8.3135969685605202E-2</v>
      </c>
      <c r="J66" s="186">
        <f t="shared" si="5"/>
        <v>5.1199933578993884E-2</v>
      </c>
    </row>
    <row r="67" spans="1:10" x14ac:dyDescent="0.35">
      <c r="A67" s="183">
        <v>1989</v>
      </c>
      <c r="B67" s="184">
        <v>0.31475183638196724</v>
      </c>
      <c r="C67" s="184">
        <v>8.1099999999999992E-2</v>
      </c>
      <c r="D67" s="184">
        <v>0.17693647159446219</v>
      </c>
      <c r="E67" s="185">
        <f t="shared" si="6"/>
        <v>29808.582644967279</v>
      </c>
      <c r="F67" s="185">
        <f t="shared" si="6"/>
        <v>938.24289503459056</v>
      </c>
      <c r="G67" s="185">
        <f t="shared" si="6"/>
        <v>1429.7219259170236</v>
      </c>
      <c r="H67" s="186">
        <f t="shared" si="1"/>
        <v>0.23365183638196724</v>
      </c>
      <c r="I67" s="187">
        <f t="shared" si="2"/>
        <v>0.13781536478750506</v>
      </c>
      <c r="J67" s="186">
        <f t="shared" si="5"/>
        <v>5.240982169336883E-2</v>
      </c>
    </row>
    <row r="68" spans="1:10" x14ac:dyDescent="0.35">
      <c r="A68" s="183">
        <v>1990</v>
      </c>
      <c r="B68" s="184">
        <v>-3.0644516129032118E-2</v>
      </c>
      <c r="C68" s="184">
        <v>7.5500000000000012E-2</v>
      </c>
      <c r="D68" s="184">
        <v>6.2353753335533363E-2</v>
      </c>
      <c r="E68" s="185">
        <f t="shared" si="6"/>
        <v>28895.113053319994</v>
      </c>
      <c r="F68" s="185">
        <f t="shared" si="6"/>
        <v>1009.0802336097021</v>
      </c>
      <c r="G68" s="185">
        <f t="shared" si="6"/>
        <v>1518.8704542240573</v>
      </c>
      <c r="H68" s="186">
        <f t="shared" si="1"/>
        <v>-0.10614451612903213</v>
      </c>
      <c r="I68" s="187">
        <f t="shared" si="2"/>
        <v>-9.2998269464565478E-2</v>
      </c>
      <c r="J68" s="186">
        <f t="shared" si="5"/>
        <v>4.9979953137364364E-2</v>
      </c>
    </row>
    <row r="69" spans="1:10" x14ac:dyDescent="0.35">
      <c r="A69" s="183">
        <v>1991</v>
      </c>
      <c r="B69" s="184">
        <v>0.30234843134879757</v>
      </c>
      <c r="C69" s="184">
        <v>5.6100000000000011E-2</v>
      </c>
      <c r="D69" s="184">
        <v>0.15004510019517303</v>
      </c>
      <c r="E69" s="185">
        <f t="shared" si="6"/>
        <v>37631.505158637461</v>
      </c>
      <c r="F69" s="185">
        <f t="shared" si="6"/>
        <v>1065.6896347152065</v>
      </c>
      <c r="G69" s="185">
        <f t="shared" si="6"/>
        <v>1746.769523711594</v>
      </c>
      <c r="H69" s="186">
        <f t="shared" si="1"/>
        <v>0.24624843134879756</v>
      </c>
      <c r="I69" s="187">
        <f t="shared" si="2"/>
        <v>0.15230333115362454</v>
      </c>
      <c r="J69" s="186">
        <f t="shared" si="5"/>
        <v>5.13850639844049E-2</v>
      </c>
    </row>
    <row r="70" spans="1:10" x14ac:dyDescent="0.35">
      <c r="A70" s="183">
        <v>1992</v>
      </c>
      <c r="B70" s="184">
        <v>7.493727972380064E-2</v>
      </c>
      <c r="C70" s="184">
        <v>3.4049999999999997E-2</v>
      </c>
      <c r="D70" s="184">
        <v>9.3616373162079422E-2</v>
      </c>
      <c r="E70" s="185">
        <f t="shared" si="6"/>
        <v>40451.507787137925</v>
      </c>
      <c r="F70" s="185">
        <f t="shared" si="6"/>
        <v>1101.976366777259</v>
      </c>
      <c r="G70" s="185">
        <f t="shared" si="6"/>
        <v>1910.2957512715263</v>
      </c>
      <c r="H70" s="186">
        <f t="shared" si="1"/>
        <v>4.0887279723800643E-2</v>
      </c>
      <c r="I70" s="187">
        <f t="shared" si="2"/>
        <v>-1.8679093438278782E-2</v>
      </c>
      <c r="J70" s="186">
        <f t="shared" si="5"/>
        <v>5.0319857010869606E-2</v>
      </c>
    </row>
    <row r="71" spans="1:10" x14ac:dyDescent="0.35">
      <c r="A71" s="183">
        <v>1993</v>
      </c>
      <c r="B71" s="184">
        <v>9.96705147919488E-2</v>
      </c>
      <c r="C71" s="184">
        <v>2.9825000000000001E-2</v>
      </c>
      <c r="D71" s="184">
        <v>0.14210957589263107</v>
      </c>
      <c r="E71" s="185">
        <f t="shared" ref="E71:G86" si="7">E70*(1+B71)</f>
        <v>44483.33039239249</v>
      </c>
      <c r="F71" s="185">
        <f t="shared" si="7"/>
        <v>1134.8428119163907</v>
      </c>
      <c r="G71" s="185">
        <f t="shared" si="7"/>
        <v>2181.7670703142176</v>
      </c>
      <c r="H71" s="186">
        <f t="shared" ref="H71:H86" si="8">B71-C71</f>
        <v>6.9845514791948796E-2</v>
      </c>
      <c r="I71" s="187">
        <f t="shared" ref="I71:I86" si="9">B71-D71</f>
        <v>-4.2439061100682268E-2</v>
      </c>
      <c r="J71" s="186">
        <f t="shared" si="5"/>
        <v>4.8975937931758473E-2</v>
      </c>
    </row>
    <row r="72" spans="1:10" x14ac:dyDescent="0.35">
      <c r="A72" s="183">
        <v>1994</v>
      </c>
      <c r="B72" s="184">
        <v>1.3259206774573897E-2</v>
      </c>
      <c r="C72" s="184">
        <v>3.9850000000000003E-2</v>
      </c>
      <c r="D72" s="184">
        <v>-8.0366555509985921E-2</v>
      </c>
      <c r="E72" s="185">
        <f t="shared" si="7"/>
        <v>45073.144068086905</v>
      </c>
      <c r="F72" s="185">
        <f t="shared" si="7"/>
        <v>1180.0662979712588</v>
      </c>
      <c r="G72" s="185">
        <f t="shared" si="7"/>
        <v>2006.4259659479505</v>
      </c>
      <c r="H72" s="186">
        <f t="shared" si="8"/>
        <v>-2.6590793225426106E-2</v>
      </c>
      <c r="I72" s="187">
        <f t="shared" si="9"/>
        <v>9.3625762284559821E-2</v>
      </c>
      <c r="J72" s="186">
        <f t="shared" si="5"/>
        <v>4.9718636171719899E-2</v>
      </c>
    </row>
    <row r="73" spans="1:10" x14ac:dyDescent="0.35">
      <c r="A73" s="183">
        <v>1995</v>
      </c>
      <c r="B73" s="184">
        <v>0.37195198902606308</v>
      </c>
      <c r="C73" s="184">
        <v>5.5150000000000005E-2</v>
      </c>
      <c r="D73" s="184">
        <v>0.23480780112538907</v>
      </c>
      <c r="E73" s="185">
        <f t="shared" si="7"/>
        <v>61838.189655870119</v>
      </c>
      <c r="F73" s="185">
        <f t="shared" si="7"/>
        <v>1245.1469543043738</v>
      </c>
      <c r="G73" s="185">
        <f t="shared" si="7"/>
        <v>2477.5504351330737</v>
      </c>
      <c r="H73" s="186">
        <f t="shared" si="8"/>
        <v>0.31680198902606305</v>
      </c>
      <c r="I73" s="187">
        <f t="shared" si="9"/>
        <v>0.13714418790067401</v>
      </c>
      <c r="J73" s="186">
        <f t="shared" si="5"/>
        <v>5.0791451119413633E-2</v>
      </c>
    </row>
    <row r="74" spans="1:10" x14ac:dyDescent="0.35">
      <c r="A74" s="183">
        <v>1996</v>
      </c>
      <c r="B74" s="184">
        <v>0.23817458802136615</v>
      </c>
      <c r="C74" s="184">
        <v>5.0224999999999999E-2</v>
      </c>
      <c r="D74" s="184">
        <v>1.428607793401844E-2</v>
      </c>
      <c r="E74" s="185">
        <f t="shared" si="7"/>
        <v>76566.475001144092</v>
      </c>
      <c r="F74" s="185">
        <f t="shared" si="7"/>
        <v>1307.684460084311</v>
      </c>
      <c r="G74" s="185">
        <f t="shared" si="7"/>
        <v>2512.9449137348461</v>
      </c>
      <c r="H74" s="186">
        <f t="shared" si="8"/>
        <v>0.18794958802136616</v>
      </c>
      <c r="I74" s="187">
        <f t="shared" si="9"/>
        <v>0.22388851008734773</v>
      </c>
      <c r="J74" s="186">
        <f t="shared" si="5"/>
        <v>5.3192171006612776E-2</v>
      </c>
    </row>
    <row r="75" spans="1:10" x14ac:dyDescent="0.35">
      <c r="A75" s="183">
        <v>1997</v>
      </c>
      <c r="B75" s="184">
        <v>0.31857597560649414</v>
      </c>
      <c r="C75" s="184">
        <v>5.0525E-2</v>
      </c>
      <c r="D75" s="184">
        <v>9.939130272977531E-2</v>
      </c>
      <c r="E75" s="185">
        <f t="shared" si="7"/>
        <v>100958.71447338381</v>
      </c>
      <c r="F75" s="185">
        <f t="shared" si="7"/>
        <v>1373.7552174300708</v>
      </c>
      <c r="G75" s="185">
        <f t="shared" si="7"/>
        <v>2762.7097823991153</v>
      </c>
      <c r="H75" s="186">
        <f t="shared" si="8"/>
        <v>0.26805097560649416</v>
      </c>
      <c r="I75" s="187">
        <f t="shared" si="9"/>
        <v>0.21918467287671883</v>
      </c>
      <c r="J75" s="186">
        <f t="shared" si="5"/>
        <v>5.5312675796496347E-2</v>
      </c>
    </row>
    <row r="76" spans="1:10" x14ac:dyDescent="0.35">
      <c r="A76" s="183">
        <v>1998</v>
      </c>
      <c r="B76" s="184">
        <v>0.28337953278443584</v>
      </c>
      <c r="C76" s="184">
        <v>4.7274999999999998E-2</v>
      </c>
      <c r="D76" s="184">
        <v>0.14921431922606215</v>
      </c>
      <c r="E76" s="185">
        <f t="shared" si="7"/>
        <v>129568.34781136856</v>
      </c>
      <c r="F76" s="185">
        <f t="shared" si="7"/>
        <v>1438.6994953340775</v>
      </c>
      <c r="G76" s="185">
        <f t="shared" si="7"/>
        <v>3174.9456417989818</v>
      </c>
      <c r="H76" s="186">
        <f t="shared" si="8"/>
        <v>0.23610453278443583</v>
      </c>
      <c r="I76" s="187">
        <f t="shared" si="9"/>
        <v>0.13416521355837369</v>
      </c>
      <c r="J76" s="186">
        <f t="shared" si="5"/>
        <v>5.6303173908827553E-2</v>
      </c>
    </row>
    <row r="77" spans="1:10" x14ac:dyDescent="0.35">
      <c r="A77" s="183">
        <v>1999</v>
      </c>
      <c r="B77" s="184">
        <v>0.20885350992084475</v>
      </c>
      <c r="C77" s="184">
        <v>4.5100000000000001E-2</v>
      </c>
      <c r="D77" s="184">
        <v>-8.2542147962685761E-2</v>
      </c>
      <c r="E77" s="185">
        <f t="shared" si="7"/>
        <v>156629.15202641769</v>
      </c>
      <c r="F77" s="185">
        <f t="shared" si="7"/>
        <v>1503.5848425736442</v>
      </c>
      <c r="G77" s="185">
        <f t="shared" si="7"/>
        <v>2912.8788088601259</v>
      </c>
      <c r="H77" s="186">
        <f t="shared" si="8"/>
        <v>0.16375350992084475</v>
      </c>
      <c r="I77" s="187">
        <f t="shared" si="9"/>
        <v>0.2913956578835305</v>
      </c>
      <c r="J77" s="186">
        <f t="shared" si="5"/>
        <v>5.9631857016358536E-2</v>
      </c>
    </row>
    <row r="78" spans="1:10" x14ac:dyDescent="0.35">
      <c r="A78" s="183">
        <v>2000</v>
      </c>
      <c r="B78" s="184">
        <v>-9.0318189552492781E-2</v>
      </c>
      <c r="C78" s="184">
        <v>5.7625000000000003E-2</v>
      </c>
      <c r="D78" s="184">
        <v>0.16655267125397488</v>
      </c>
      <c r="E78" s="185">
        <f t="shared" si="7"/>
        <v>142482.69058424947</v>
      </c>
      <c r="F78" s="185">
        <f t="shared" si="7"/>
        <v>1590.2289191269506</v>
      </c>
      <c r="G78" s="185">
        <f t="shared" si="7"/>
        <v>3398.0265555148762</v>
      </c>
      <c r="H78" s="186">
        <f t="shared" si="8"/>
        <v>-0.14794318955249278</v>
      </c>
      <c r="I78" s="187">
        <f t="shared" si="9"/>
        <v>-0.25687086080646765</v>
      </c>
      <c r="J78" s="186">
        <f t="shared" si="5"/>
        <v>5.5109104451733337E-2</v>
      </c>
    </row>
    <row r="79" spans="1:10" x14ac:dyDescent="0.35">
      <c r="A79" s="183">
        <v>2001</v>
      </c>
      <c r="B79" s="184">
        <v>-0.11849759142000185</v>
      </c>
      <c r="C79" s="184">
        <v>3.6725000000000001E-2</v>
      </c>
      <c r="D79" s="184">
        <v>5.5721811892492555E-2</v>
      </c>
      <c r="E79" s="185">
        <f t="shared" si="7"/>
        <v>125598.83493097454</v>
      </c>
      <c r="F79" s="185">
        <f t="shared" si="7"/>
        <v>1648.6300761818877</v>
      </c>
      <c r="G79" s="185">
        <f t="shared" si="7"/>
        <v>3587.3707520469702</v>
      </c>
      <c r="H79" s="186">
        <f t="shared" si="8"/>
        <v>-0.15522259142000186</v>
      </c>
      <c r="I79" s="187">
        <f t="shared" si="9"/>
        <v>-0.17421940331249441</v>
      </c>
      <c r="J79" s="186">
        <f t="shared" si="5"/>
        <v>5.1662600225616639E-2</v>
      </c>
    </row>
    <row r="80" spans="1:10" x14ac:dyDescent="0.35">
      <c r="A80" s="188">
        <v>2002</v>
      </c>
      <c r="B80" s="184">
        <v>-0.21966047957912699</v>
      </c>
      <c r="C80" s="184">
        <v>1.6574999999999999E-2</v>
      </c>
      <c r="D80" s="184">
        <v>0.15116400378109285</v>
      </c>
      <c r="E80" s="185">
        <f t="shared" si="7"/>
        <v>98009.734615457055</v>
      </c>
      <c r="F80" s="185">
        <f t="shared" si="7"/>
        <v>1675.9561196946024</v>
      </c>
      <c r="G80" s="185">
        <f t="shared" si="7"/>
        <v>4129.6520779735802</v>
      </c>
      <c r="H80" s="186">
        <f t="shared" si="8"/>
        <v>-0.23623547957912699</v>
      </c>
      <c r="I80" s="187">
        <f t="shared" si="9"/>
        <v>-0.37082448336021984</v>
      </c>
      <c r="J80" s="186">
        <f t="shared" si="5"/>
        <v>4.5322753501771729E-2</v>
      </c>
    </row>
    <row r="81" spans="1:10" x14ac:dyDescent="0.35">
      <c r="A81" s="188">
        <v>2003</v>
      </c>
      <c r="B81" s="184">
        <v>0.28355800050010233</v>
      </c>
      <c r="C81" s="184">
        <v>1.03E-2</v>
      </c>
      <c r="D81" s="184">
        <v>3.7531858817758529E-3</v>
      </c>
      <c r="E81" s="185">
        <f t="shared" si="7"/>
        <v>125801.17899256173</v>
      </c>
      <c r="F81" s="185">
        <f t="shared" si="7"/>
        <v>1693.2184677274568</v>
      </c>
      <c r="G81" s="185">
        <f t="shared" si="7"/>
        <v>4145.1514298492766</v>
      </c>
      <c r="H81" s="186">
        <f t="shared" si="8"/>
        <v>0.27325800050010235</v>
      </c>
      <c r="I81" s="187">
        <f t="shared" si="9"/>
        <v>0.27980481461832646</v>
      </c>
      <c r="J81" s="186">
        <f t="shared" si="5"/>
        <v>4.8235129792344456E-2</v>
      </c>
    </row>
    <row r="82" spans="1:10" x14ac:dyDescent="0.35">
      <c r="A82" s="188">
        <v>2004</v>
      </c>
      <c r="B82" s="184">
        <v>0.10742775944096193</v>
      </c>
      <c r="C82" s="184">
        <v>1.2275000000000001E-2</v>
      </c>
      <c r="D82" s="184">
        <v>4.490683702274547E-2</v>
      </c>
      <c r="E82" s="185">
        <f t="shared" si="7"/>
        <v>139315.71778676403</v>
      </c>
      <c r="F82" s="185">
        <f t="shared" si="7"/>
        <v>1714.0027244188113</v>
      </c>
      <c r="G82" s="185">
        <f t="shared" si="7"/>
        <v>4331.2970695441181</v>
      </c>
      <c r="H82" s="186">
        <f t="shared" si="8"/>
        <v>9.5152759440961937E-2</v>
      </c>
      <c r="I82" s="187">
        <f t="shared" si="9"/>
        <v>6.2520922418216468E-2</v>
      </c>
      <c r="J82" s="186">
        <f t="shared" si="5"/>
        <v>4.8420366493855838E-2</v>
      </c>
    </row>
    <row r="83" spans="1:10" x14ac:dyDescent="0.35">
      <c r="A83" s="188">
        <v>2005</v>
      </c>
      <c r="B83" s="184">
        <v>4.8344775232688535E-2</v>
      </c>
      <c r="C83" s="184">
        <v>3.0099999999999998E-2</v>
      </c>
      <c r="D83" s="184">
        <v>2.8675329597779506E-2</v>
      </c>
      <c r="E83" s="185">
        <f t="shared" si="7"/>
        <v>146050.9048495458</v>
      </c>
      <c r="F83" s="185">
        <f t="shared" si="7"/>
        <v>1765.5942064238177</v>
      </c>
      <c r="G83" s="185">
        <f t="shared" si="7"/>
        <v>4455.4984405991927</v>
      </c>
      <c r="H83" s="186">
        <f t="shared" si="8"/>
        <v>1.8244775232688536E-2</v>
      </c>
      <c r="I83" s="187">
        <f t="shared" si="9"/>
        <v>1.9669445634909029E-2</v>
      </c>
      <c r="J83" s="186">
        <f t="shared" si="5"/>
        <v>4.8039592729194558E-2</v>
      </c>
    </row>
    <row r="84" spans="1:10" x14ac:dyDescent="0.35">
      <c r="A84" s="188">
        <v>2006</v>
      </c>
      <c r="B84" s="184">
        <v>0.15612557979315703</v>
      </c>
      <c r="C84" s="184">
        <v>4.6775000000000004E-2</v>
      </c>
      <c r="D84" s="184">
        <v>1.9610012417568386E-2</v>
      </c>
      <c r="E84" s="185">
        <f t="shared" si="7"/>
        <v>168853.18704849636</v>
      </c>
      <c r="F84" s="185">
        <f t="shared" si="7"/>
        <v>1848.1798754292918</v>
      </c>
      <c r="G84" s="185">
        <f t="shared" si="7"/>
        <v>4542.8708203458</v>
      </c>
      <c r="H84" s="186">
        <f t="shared" si="8"/>
        <v>0.10935057979315702</v>
      </c>
      <c r="I84" s="187">
        <f t="shared" si="9"/>
        <v>0.13651556737558865</v>
      </c>
      <c r="J84" s="186">
        <f t="shared" si="5"/>
        <v>4.9146470524072061E-2</v>
      </c>
    </row>
    <row r="85" spans="1:10" x14ac:dyDescent="0.35">
      <c r="A85" s="188">
        <v>2007</v>
      </c>
      <c r="B85" s="184">
        <v>5.4847352464217694E-2</v>
      </c>
      <c r="C85" s="184">
        <v>4.6425000000000001E-2</v>
      </c>
      <c r="D85" s="184">
        <v>0.10209921930012807</v>
      </c>
      <c r="E85" s="185">
        <f t="shared" si="7"/>
        <v>178114.33731325172</v>
      </c>
      <c r="F85" s="185">
        <f t="shared" si="7"/>
        <v>1933.9816261460965</v>
      </c>
      <c r="G85" s="185">
        <f t="shared" si="7"/>
        <v>5006.6943844844382</v>
      </c>
      <c r="H85" s="186">
        <f t="shared" si="8"/>
        <v>8.4223524642176931E-3</v>
      </c>
      <c r="I85" s="187">
        <f t="shared" si="9"/>
        <v>-4.7251866835910372E-2</v>
      </c>
      <c r="J85" s="186">
        <f t="shared" si="5"/>
        <v>4.7946180113691783E-2</v>
      </c>
    </row>
    <row r="86" spans="1:10" x14ac:dyDescent="0.35">
      <c r="A86" s="188">
        <v>2008</v>
      </c>
      <c r="B86" s="184">
        <v>-0.36575499196382355</v>
      </c>
      <c r="C86" s="184">
        <v>1.585E-2</v>
      </c>
      <c r="D86" s="184">
        <v>0.20101279926977011</v>
      </c>
      <c r="E86" s="185">
        <f t="shared" si="7"/>
        <v>112968.12930060158</v>
      </c>
      <c r="F86" s="185">
        <f t="shared" si="7"/>
        <v>1964.6352349205119</v>
      </c>
      <c r="G86" s="185">
        <f t="shared" si="7"/>
        <v>6013.1040377978934</v>
      </c>
      <c r="H86" s="186">
        <f t="shared" si="8"/>
        <v>-0.38160499196382353</v>
      </c>
      <c r="I86" s="187">
        <f t="shared" si="9"/>
        <v>-0.56676779123359367</v>
      </c>
      <c r="J86" s="186">
        <f t="shared" si="5"/>
        <v>3.878846995908769E-2</v>
      </c>
    </row>
    <row r="87" spans="1:10" x14ac:dyDescent="0.35">
      <c r="A87" s="188">
        <v>2009</v>
      </c>
      <c r="B87" s="184">
        <v>0.25924162745640733</v>
      </c>
      <c r="C87" s="184">
        <v>1.3500000000000001E-3</v>
      </c>
      <c r="D87" s="184">
        <v>-0.11116695313259162</v>
      </c>
      <c r="E87" s="185">
        <f>E86*(1+B87)</f>
        <v>142254.17099119539</v>
      </c>
      <c r="F87" s="185">
        <f>F86*(1+C87)</f>
        <v>1967.2874924876546</v>
      </c>
      <c r="G87" s="185">
        <f t="shared" ref="G87" si="10">G86*(1+D87)</f>
        <v>5344.6455830466175</v>
      </c>
      <c r="H87" s="186">
        <f>B87-C87</f>
        <v>0.25789162745640731</v>
      </c>
      <c r="I87" s="187">
        <f>B87-D87</f>
        <v>0.37040858058899895</v>
      </c>
      <c r="J87" s="186">
        <f t="shared" si="5"/>
        <v>4.2860013233459338E-2</v>
      </c>
    </row>
    <row r="88" spans="1:10" x14ac:dyDescent="0.35">
      <c r="A88" s="188">
        <v>2010</v>
      </c>
      <c r="B88" s="184">
        <v>0.14856066720473518</v>
      </c>
      <c r="C88" s="189">
        <v>1.2999999999999999E-3</v>
      </c>
      <c r="D88" s="184">
        <v>8.4629338803557719E-2</v>
      </c>
      <c r="E88" s="185">
        <f>E87*(1+B88)</f>
        <v>163387.54554630388</v>
      </c>
      <c r="F88" s="185">
        <f>F87*(1+C88)</f>
        <v>1969.8449662278888</v>
      </c>
      <c r="G88" s="185">
        <f>G87*(1+D88)</f>
        <v>5796.9594048792078</v>
      </c>
      <c r="H88" s="186">
        <f>B88-C88</f>
        <v>0.14726066720473519</v>
      </c>
      <c r="I88" s="187">
        <f>B88-D88</f>
        <v>6.3931328401177462E-2</v>
      </c>
      <c r="J88" s="186">
        <f>((E88/100)^(1/(A88-$A$6+1)))-((G88/100)^(1/(A88-$A$6+1)))</f>
        <v>4.3104132250596949E-2</v>
      </c>
    </row>
    <row r="89" spans="1:10" x14ac:dyDescent="0.35">
      <c r="F89" s="232" t="s">
        <v>170</v>
      </c>
      <c r="G89" s="233"/>
      <c r="H89" s="234" t="s">
        <v>40</v>
      </c>
      <c r="I89" s="234"/>
    </row>
    <row r="90" spans="1:10" x14ac:dyDescent="0.35">
      <c r="A90" s="190" t="s">
        <v>169</v>
      </c>
      <c r="B90" s="191"/>
      <c r="C90" s="191"/>
      <c r="D90" s="191"/>
      <c r="F90" s="182" t="s">
        <v>171</v>
      </c>
      <c r="G90" s="182" t="s">
        <v>172</v>
      </c>
      <c r="H90" s="182" t="s">
        <v>171</v>
      </c>
      <c r="I90" s="182" t="s">
        <v>172</v>
      </c>
    </row>
    <row r="91" spans="1:10" x14ac:dyDescent="0.35">
      <c r="A91" s="183" t="s">
        <v>41</v>
      </c>
      <c r="B91" s="184">
        <f>AVERAGE(B6:B88)</f>
        <v>0.11314804277714903</v>
      </c>
      <c r="C91" s="184">
        <f>AVERAGE(C6:C88)</f>
        <v>3.6994277108433733E-2</v>
      </c>
      <c r="D91" s="184">
        <f>AVERAGE(D6:D88)</f>
        <v>5.2821858646182544E-2</v>
      </c>
      <c r="F91" s="192">
        <f>B91-C91</f>
        <v>7.615376566871529E-2</v>
      </c>
      <c r="G91" s="192">
        <f>B91-D91</f>
        <v>6.0326184130966486E-2</v>
      </c>
      <c r="H91" s="192">
        <f>STDEV(H6:H88)/(($A$88-$A$6+1)^0.5)</f>
        <v>2.2503137826625316E-2</v>
      </c>
      <c r="I91" s="192">
        <f>STDEV(I6:I88)/(($A$88-$A$6+1)^0.5)</f>
        <v>2.3754128783725355E-2</v>
      </c>
    </row>
    <row r="92" spans="1:10" x14ac:dyDescent="0.35">
      <c r="A92" s="183" t="s">
        <v>42</v>
      </c>
      <c r="B92" s="184">
        <f>AVERAGE(B39:B88)</f>
        <v>0.11095790989397246</v>
      </c>
      <c r="C92" s="184">
        <f>AVERAGE(C39:C88)</f>
        <v>5.2695999999999993E-2</v>
      </c>
      <c r="D92" s="184">
        <f>AVERAGE(D39:D88)</f>
        <v>6.9630425071515567E-2</v>
      </c>
      <c r="F92" s="192">
        <f>B92-C92</f>
        <v>5.8261909893972466E-2</v>
      </c>
      <c r="G92" s="192">
        <f>B92-D92</f>
        <v>4.1327484822456892E-2</v>
      </c>
      <c r="H92" s="192">
        <f>STDEV(H39:H88)/(($A$88-$A$39+1)^0.5)</f>
        <v>2.4232938625977394E-2</v>
      </c>
      <c r="I92" s="192">
        <f>STDEV(I39:I88)/(($A$88-$A$39+1)^0.5)</f>
        <v>2.6917623757695564E-2</v>
      </c>
    </row>
    <row r="93" spans="1:10" x14ac:dyDescent="0.35">
      <c r="A93" s="183" t="s">
        <v>43</v>
      </c>
      <c r="B93" s="184">
        <f>AVERAGE(B79:B88)</f>
        <v>3.5419269912931761E-2</v>
      </c>
      <c r="C93" s="184">
        <f>AVERAGE(C79:C88)</f>
        <v>2.1767499999999999E-2</v>
      </c>
      <c r="D93" s="184">
        <f>AVERAGE(D79:D88)</f>
        <v>5.8040558483431884E-2</v>
      </c>
      <c r="F93" s="192">
        <f>B93-C93</f>
        <v>1.3651769912931763E-2</v>
      </c>
      <c r="G93" s="192">
        <f>B93-D93</f>
        <v>-2.2621288570500123E-2</v>
      </c>
      <c r="H93" s="192">
        <f>STDEV(H79:H88)/(($A$88-$A$79+1)^0.5)</f>
        <v>6.7325003742454703E-2</v>
      </c>
      <c r="I93" s="192">
        <f>STDEV(I79:I88)/(($A$88-$A$79+1)^0.5)</f>
        <v>8.9982538902432629E-2</v>
      </c>
    </row>
    <row r="94" spans="1:10" x14ac:dyDescent="0.35">
      <c r="F94" s="193" t="s">
        <v>39</v>
      </c>
    </row>
    <row r="95" spans="1:10" x14ac:dyDescent="0.35">
      <c r="A95" s="194" t="s">
        <v>173</v>
      </c>
      <c r="F95" s="182" t="s">
        <v>171</v>
      </c>
      <c r="G95" s="182" t="s">
        <v>172</v>
      </c>
    </row>
    <row r="96" spans="1:10" x14ac:dyDescent="0.35">
      <c r="A96" s="183" t="s">
        <v>41</v>
      </c>
      <c r="B96" s="195">
        <f>(E88/100)^(1/(A88-A6+1))-1</f>
        <v>9.3234884448861299E-2</v>
      </c>
      <c r="C96" s="195">
        <f>(F88/100)^(1/(A88-A6+1))-1</f>
        <v>3.6562675742123574E-2</v>
      </c>
      <c r="D96" s="195">
        <f>(G88/100)^(1/(A88-A6+1))-1</f>
        <v>5.013075219826435E-2</v>
      </c>
      <c r="F96" s="192">
        <f>B96-C96</f>
        <v>5.6672208706737726E-2</v>
      </c>
      <c r="G96" s="192">
        <f>B96-D96</f>
        <v>4.3104132250596949E-2</v>
      </c>
    </row>
    <row r="97" spans="1:7" x14ac:dyDescent="0.35">
      <c r="A97" s="183" t="s">
        <v>42</v>
      </c>
      <c r="B97" s="195">
        <f>(E88/E38)^(1/($A$88-$A$38))-1</f>
        <v>9.6741651412089569E-2</v>
      </c>
      <c r="C97" s="195">
        <f>(F88/F38)^(1/($A$88-$A$38))-1</f>
        <v>5.2321832414237823E-2</v>
      </c>
      <c r="D97" s="195">
        <f>(G88/G38)^(1/($A$88-$A$38))-1</f>
        <v>6.5802834045570968E-2</v>
      </c>
      <c r="F97" s="192">
        <f>B97-C97</f>
        <v>4.4419818997851745E-2</v>
      </c>
      <c r="G97" s="192">
        <f>B97-D97</f>
        <v>3.0938817366518601E-2</v>
      </c>
    </row>
    <row r="98" spans="1:7" x14ac:dyDescent="0.35">
      <c r="A98" s="183" t="s">
        <v>43</v>
      </c>
      <c r="B98" s="195">
        <f>(E88/E78)^(1/($A$88-$A$78))-1</f>
        <v>1.3784586866300685E-2</v>
      </c>
      <c r="C98" s="195">
        <f>(F88/F78)^(1/($A$88-$A$78))-1</f>
        <v>2.1638474669053442E-2</v>
      </c>
      <c r="D98" s="195">
        <f>(G88/G78)^(1/($A$88-$A$78))-1</f>
        <v>5.486613237092719E-2</v>
      </c>
      <c r="F98" s="192">
        <f>B98-C98</f>
        <v>-7.853887802752757E-3</v>
      </c>
      <c r="G98" s="192">
        <f>B98-D98</f>
        <v>-4.1081545504626504E-2</v>
      </c>
    </row>
  </sheetData>
  <mergeCells count="2">
    <mergeCell ref="F89:G89"/>
    <mergeCell ref="H89:I89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I24"/>
  <sheetViews>
    <sheetView zoomScale="90" zoomScaleNormal="150" zoomScalePageLayoutView="150" workbookViewId="0">
      <selection activeCell="A24" sqref="A24"/>
    </sheetView>
  </sheetViews>
  <sheetFormatPr defaultColWidth="10.90625" defaultRowHeight="14.5" x14ac:dyDescent="0.35"/>
  <cols>
    <col min="1" max="1" width="47.1796875" bestFit="1" customWidth="1"/>
  </cols>
  <sheetData>
    <row r="2" spans="1:9" x14ac:dyDescent="0.35">
      <c r="A2" s="262" t="s">
        <v>159</v>
      </c>
    </row>
    <row r="4" spans="1:9" x14ac:dyDescent="0.35">
      <c r="B4" s="35">
        <v>2010</v>
      </c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</row>
    <row r="5" spans="1:9" x14ac:dyDescent="0.35">
      <c r="A5" s="261" t="s">
        <v>144</v>
      </c>
      <c r="B5" s="32">
        <v>3.1699999999999999E-2</v>
      </c>
      <c r="C5" s="32">
        <v>3.1600000000000003E-2</v>
      </c>
      <c r="D5" s="32">
        <v>3.3599999999999998E-2</v>
      </c>
      <c r="E5" s="32">
        <v>3.2399999999999998E-2</v>
      </c>
      <c r="F5" s="32">
        <v>3.09E-2</v>
      </c>
      <c r="G5" s="32">
        <v>2.0500000000000001E-2</v>
      </c>
      <c r="H5" s="32">
        <v>2.8199999999999999E-2</v>
      </c>
      <c r="I5" s="32">
        <v>2.7E-2</v>
      </c>
    </row>
    <row r="6" spans="1:9" x14ac:dyDescent="0.35">
      <c r="A6" s="33" t="s">
        <v>145</v>
      </c>
      <c r="B6" s="32">
        <f t="shared" ref="B6:I6" si="0">((1+B5)^(1/12))-1</f>
        <v>2.6040452449183071E-3</v>
      </c>
      <c r="C6" s="32">
        <f t="shared" si="0"/>
        <v>2.5959465680680527E-3</v>
      </c>
      <c r="D6" s="32">
        <f t="shared" si="0"/>
        <v>2.7577835453318489E-3</v>
      </c>
      <c r="E6" s="32">
        <f t="shared" si="0"/>
        <v>2.6607158433307188E-3</v>
      </c>
      <c r="F6" s="32">
        <f t="shared" si="0"/>
        <v>2.5392356718625386E-3</v>
      </c>
      <c r="G6" s="32">
        <f t="shared" si="0"/>
        <v>1.6924892515723933E-3</v>
      </c>
      <c r="H6" s="32">
        <f t="shared" si="0"/>
        <v>2.3201624741928661E-3</v>
      </c>
      <c r="I6" s="32">
        <f t="shared" si="0"/>
        <v>2.2226272943570713E-3</v>
      </c>
    </row>
    <row r="7" spans="1:9" x14ac:dyDescent="0.35">
      <c r="A7" s="33" t="s">
        <v>146</v>
      </c>
      <c r="B7" s="32">
        <v>4.2900000000000001E-2</v>
      </c>
      <c r="C7" s="32">
        <v>5.4899999999999997E-2</v>
      </c>
      <c r="D7" s="32">
        <v>4.8800000000000003E-2</v>
      </c>
      <c r="E7" s="32">
        <v>4.8500000000000001E-2</v>
      </c>
      <c r="F7" s="32">
        <v>4.6300000000000001E-2</v>
      </c>
      <c r="G7" s="32">
        <v>4.58E-2</v>
      </c>
      <c r="H7" s="32">
        <v>4.5600000000000002E-2</v>
      </c>
      <c r="I7" s="32">
        <v>4.4699999999999997E-2</v>
      </c>
    </row>
    <row r="8" spans="1:9" x14ac:dyDescent="0.35">
      <c r="A8" s="33" t="s">
        <v>147</v>
      </c>
      <c r="B8" s="32">
        <f t="shared" ref="B8:I8" si="1">((1+B7)^(1/12))-1</f>
        <v>3.5065748777713956E-3</v>
      </c>
      <c r="C8" s="32">
        <f t="shared" si="1"/>
        <v>4.463764356697375E-3</v>
      </c>
      <c r="D8" s="32">
        <f t="shared" si="1"/>
        <v>3.9784475501516425E-3</v>
      </c>
      <c r="E8" s="32">
        <f t="shared" si="1"/>
        <v>3.9545128129423457E-3</v>
      </c>
      <c r="F8" s="32">
        <f t="shared" si="1"/>
        <v>3.7787993439000189E-3</v>
      </c>
      <c r="G8" s="32">
        <f t="shared" si="1"/>
        <v>3.7388172355212745E-3</v>
      </c>
      <c r="H8" s="32">
        <f t="shared" si="1"/>
        <v>3.7228194856664398E-3</v>
      </c>
      <c r="I8" s="32">
        <f t="shared" si="1"/>
        <v>3.650794881391306E-3</v>
      </c>
    </row>
    <row r="9" spans="1:9" x14ac:dyDescent="0.35">
      <c r="A9" s="33" t="s">
        <v>148</v>
      </c>
      <c r="B9" s="32">
        <v>1.6E-2</v>
      </c>
      <c r="C9" s="32">
        <v>2.8000000000000001E-2</v>
      </c>
      <c r="D9" s="32">
        <v>2.5999999999999999E-2</v>
      </c>
      <c r="E9" s="32">
        <v>2.8000000000000001E-2</v>
      </c>
      <c r="F9" s="32">
        <v>2.4E-2</v>
      </c>
      <c r="G9" s="32">
        <v>2.5999999999999999E-2</v>
      </c>
      <c r="H9" s="32">
        <v>2.4E-2</v>
      </c>
      <c r="I9" s="32">
        <v>2.5000000000000001E-2</v>
      </c>
    </row>
    <row r="10" spans="1:9" x14ac:dyDescent="0.35">
      <c r="A10" s="261" t="s">
        <v>149</v>
      </c>
      <c r="B10" s="32">
        <v>0.05</v>
      </c>
      <c r="C10" s="32">
        <v>0.04</v>
      </c>
      <c r="D10" s="32">
        <v>0.04</v>
      </c>
      <c r="E10" s="32">
        <v>0.03</v>
      </c>
      <c r="F10" s="32">
        <f>+E10</f>
        <v>0.03</v>
      </c>
      <c r="G10" s="32">
        <f t="shared" ref="G10:I10" si="2">+F10</f>
        <v>0.03</v>
      </c>
      <c r="H10" s="32">
        <f t="shared" si="2"/>
        <v>0.03</v>
      </c>
      <c r="I10" s="32">
        <f t="shared" si="2"/>
        <v>0.03</v>
      </c>
    </row>
    <row r="11" spans="1:9" x14ac:dyDescent="0.35">
      <c r="A11" s="33" t="s">
        <v>150</v>
      </c>
      <c r="B11" s="32">
        <v>0.03</v>
      </c>
      <c r="C11" s="32">
        <v>-5.96E-2</v>
      </c>
      <c r="D11" s="32">
        <v>-4.4999999999999998E-2</v>
      </c>
      <c r="E11" s="32">
        <v>3.5499999999999997E-2</v>
      </c>
      <c r="F11" s="32">
        <v>1.9099999999999999E-2</v>
      </c>
      <c r="G11" s="32">
        <v>-5.7299999999999997E-2</v>
      </c>
      <c r="H11" s="32">
        <v>-4.9099999999999998E-2</v>
      </c>
      <c r="I11" s="32">
        <v>-2.2100000000000002E-2</v>
      </c>
    </row>
    <row r="12" spans="1:9" x14ac:dyDescent="0.35">
      <c r="A12" s="33" t="s">
        <v>151</v>
      </c>
      <c r="B12" s="32">
        <v>-0.1201</v>
      </c>
      <c r="C12" s="32">
        <v>-3.7400000000000003E-2</v>
      </c>
      <c r="D12" s="32">
        <v>-4.82E-2</v>
      </c>
      <c r="E12" s="32">
        <v>3.6200000000000003E-2</v>
      </c>
      <c r="F12" s="32">
        <v>-4.4000000000000003E-3</v>
      </c>
      <c r="G12" s="32">
        <v>-2.4500000000000001E-2</v>
      </c>
      <c r="H12" s="32">
        <v>-4.2299999999999997E-2</v>
      </c>
      <c r="I12" s="32">
        <v>-2.7400000000000001E-2</v>
      </c>
    </row>
    <row r="13" spans="1:9" x14ac:dyDescent="0.35">
      <c r="A13" s="33" t="s">
        <v>7</v>
      </c>
      <c r="B13" s="34">
        <v>1913.98</v>
      </c>
      <c r="C13" s="34">
        <v>1800</v>
      </c>
      <c r="D13" s="34">
        <v>1719</v>
      </c>
      <c r="E13" s="34">
        <v>1780</v>
      </c>
      <c r="F13" s="34">
        <v>1814</v>
      </c>
      <c r="G13" s="34">
        <v>1710</v>
      </c>
      <c r="H13" s="34">
        <v>1626</v>
      </c>
      <c r="I13" s="34">
        <v>1590</v>
      </c>
    </row>
    <row r="14" spans="1:9" x14ac:dyDescent="0.35">
      <c r="A14" s="33" t="s">
        <v>152</v>
      </c>
      <c r="B14" s="34">
        <v>1897.89</v>
      </c>
      <c r="C14" s="34">
        <v>1827</v>
      </c>
      <c r="D14" s="34">
        <v>1739</v>
      </c>
      <c r="E14" s="34">
        <v>1802</v>
      </c>
      <c r="F14" s="34">
        <v>1794</v>
      </c>
      <c r="G14" s="34">
        <v>1750</v>
      </c>
      <c r="H14" s="34">
        <v>1676</v>
      </c>
      <c r="I14" s="34">
        <v>1630</v>
      </c>
    </row>
    <row r="15" spans="1:9" x14ac:dyDescent="0.35">
      <c r="A15" s="33" t="s">
        <v>153</v>
      </c>
      <c r="B15" s="32">
        <v>3.5000000000000003E-2</v>
      </c>
      <c r="C15" s="32">
        <v>4.9299999999999997E-2</v>
      </c>
      <c r="D15" s="32">
        <v>4.6100000000000002E-2</v>
      </c>
      <c r="E15" s="32">
        <v>5.4300000000000001E-2</v>
      </c>
      <c r="F15" s="32">
        <v>5.2999999999999999E-2</v>
      </c>
      <c r="G15" s="32">
        <v>4.8899999999999999E-2</v>
      </c>
      <c r="H15" s="32">
        <v>4.9500000000000002E-2</v>
      </c>
      <c r="I15" s="32">
        <v>4.87E-2</v>
      </c>
    </row>
    <row r="16" spans="1:9" x14ac:dyDescent="0.35">
      <c r="A16" s="31" t="s">
        <v>154</v>
      </c>
      <c r="B16" s="32">
        <v>0.33</v>
      </c>
      <c r="C16" s="32">
        <v>0.33</v>
      </c>
      <c r="D16" s="32">
        <v>0.33</v>
      </c>
      <c r="E16" s="32">
        <v>0.33</v>
      </c>
      <c r="F16" s="32">
        <v>0.33</v>
      </c>
      <c r="G16" s="32">
        <v>0.33</v>
      </c>
      <c r="H16" s="32">
        <v>0.33</v>
      </c>
      <c r="I16" s="32">
        <v>0.33</v>
      </c>
    </row>
    <row r="17" spans="1:9" x14ac:dyDescent="0.35">
      <c r="A17" s="31" t="s">
        <v>155</v>
      </c>
      <c r="B17" s="32">
        <v>0.03</v>
      </c>
      <c r="C17" s="32">
        <v>0.03</v>
      </c>
      <c r="D17" s="32">
        <v>0.03</v>
      </c>
      <c r="E17" s="32">
        <v>0.03</v>
      </c>
      <c r="F17" s="32">
        <v>0.03</v>
      </c>
      <c r="G17" s="32">
        <v>0.03</v>
      </c>
      <c r="H17" s="32">
        <v>0.03</v>
      </c>
      <c r="I17" s="32">
        <v>0.03</v>
      </c>
    </row>
    <row r="18" spans="1:9" x14ac:dyDescent="0.35">
      <c r="A18" s="31" t="s">
        <v>156</v>
      </c>
      <c r="B18" s="32">
        <v>2.5000000000000001E-2</v>
      </c>
      <c r="C18" s="32">
        <v>2.3E-2</v>
      </c>
      <c r="D18" s="32">
        <v>2.1999999999999999E-2</v>
      </c>
      <c r="E18" s="32">
        <v>2.1999999999999999E-2</v>
      </c>
      <c r="F18" s="32">
        <f>+E18</f>
        <v>2.1999999999999999E-2</v>
      </c>
      <c r="G18" s="32">
        <f t="shared" ref="G18:I18" si="3">+F18</f>
        <v>2.1999999999999999E-2</v>
      </c>
      <c r="H18" s="32">
        <f t="shared" si="3"/>
        <v>2.1999999999999999E-2</v>
      </c>
      <c r="I18" s="32">
        <f t="shared" si="3"/>
        <v>2.1999999999999999E-2</v>
      </c>
    </row>
    <row r="19" spans="1:9" x14ac:dyDescent="0.35">
      <c r="A19" s="31" t="s">
        <v>157</v>
      </c>
      <c r="B19" s="32">
        <v>0.75</v>
      </c>
      <c r="C19" s="32">
        <v>0.75</v>
      </c>
      <c r="D19" s="32">
        <v>0.75</v>
      </c>
      <c r="E19" s="32">
        <v>0.75</v>
      </c>
      <c r="F19" s="32">
        <v>0.75</v>
      </c>
      <c r="G19" s="32">
        <v>0.75</v>
      </c>
      <c r="H19" s="32">
        <v>0.75</v>
      </c>
      <c r="I19" s="32">
        <v>0.75</v>
      </c>
    </row>
    <row r="20" spans="1:9" x14ac:dyDescent="0.35">
      <c r="A20" s="31" t="s">
        <v>158</v>
      </c>
      <c r="B20" s="32">
        <v>1.1108999999999999E-2</v>
      </c>
      <c r="C20" s="32">
        <v>1.1108999999999999E-2</v>
      </c>
      <c r="D20" s="32">
        <v>1.1108999999999999E-2</v>
      </c>
      <c r="E20" s="32">
        <v>1.1108999999999999E-2</v>
      </c>
      <c r="F20" s="32">
        <v>1.1108999999999999E-2</v>
      </c>
      <c r="G20" s="32">
        <v>1.1108999999999999E-2</v>
      </c>
      <c r="H20" s="32">
        <v>1.1108999999999999E-2</v>
      </c>
      <c r="I20" s="32">
        <v>1.1108999999999999E-2</v>
      </c>
    </row>
    <row r="21" spans="1:9" x14ac:dyDescent="0.35">
      <c r="A21" s="31" t="s">
        <v>160</v>
      </c>
      <c r="B21" s="32">
        <v>4.0000000000000001E-3</v>
      </c>
      <c r="C21" s="32">
        <v>4.0000000000000001E-3</v>
      </c>
      <c r="D21" s="32">
        <v>4.0000000000000001E-3</v>
      </c>
      <c r="E21" s="32">
        <v>4.0000000000000001E-3</v>
      </c>
      <c r="F21" s="32">
        <v>4.0000000000000001E-3</v>
      </c>
      <c r="G21" s="32">
        <v>4.0000000000000001E-3</v>
      </c>
      <c r="H21" s="32">
        <v>4.0000000000000001E-3</v>
      </c>
      <c r="I21" s="32">
        <v>4.0000000000000001E-3</v>
      </c>
    </row>
    <row r="22" spans="1:9" x14ac:dyDescent="0.35">
      <c r="A22" s="31" t="s">
        <v>143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x14ac:dyDescent="0.35">
      <c r="A23" s="31" t="s">
        <v>161</v>
      </c>
      <c r="B23" s="37">
        <v>0.06</v>
      </c>
      <c r="C23" s="37">
        <f>+B23</f>
        <v>0.06</v>
      </c>
      <c r="D23" s="37">
        <f t="shared" ref="D23:I24" si="4">+C23</f>
        <v>0.06</v>
      </c>
      <c r="E23" s="37">
        <f t="shared" si="4"/>
        <v>0.06</v>
      </c>
      <c r="F23" s="37">
        <f t="shared" si="4"/>
        <v>0.06</v>
      </c>
      <c r="G23" s="37">
        <f t="shared" si="4"/>
        <v>0.06</v>
      </c>
      <c r="H23" s="37">
        <f t="shared" si="4"/>
        <v>0.06</v>
      </c>
      <c r="I23" s="37">
        <f t="shared" si="4"/>
        <v>0.06</v>
      </c>
    </row>
    <row r="24" spans="1:9" x14ac:dyDescent="0.35">
      <c r="A24" s="31" t="s">
        <v>162</v>
      </c>
      <c r="B24" s="37">
        <v>0.03</v>
      </c>
      <c r="C24" s="37">
        <f>+B24</f>
        <v>0.03</v>
      </c>
      <c r="D24" s="37">
        <f t="shared" si="4"/>
        <v>0.03</v>
      </c>
      <c r="E24" s="37">
        <f t="shared" si="4"/>
        <v>0.03</v>
      </c>
      <c r="F24" s="37">
        <f t="shared" si="4"/>
        <v>0.03</v>
      </c>
      <c r="G24" s="37">
        <f t="shared" si="4"/>
        <v>0.03</v>
      </c>
      <c r="H24" s="37">
        <f t="shared" si="4"/>
        <v>0.03</v>
      </c>
      <c r="I24" s="37">
        <f t="shared" si="4"/>
        <v>0.03</v>
      </c>
    </row>
  </sheetData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7BC61ACE2745A3DF760AE51E7038" ma:contentTypeVersion="12" ma:contentTypeDescription="Create a new document." ma:contentTypeScope="" ma:versionID="0406a4fbf02d6cd8da452482bcc766d8">
  <xsd:schema xmlns:xsd="http://www.w3.org/2001/XMLSchema" xmlns:xs="http://www.w3.org/2001/XMLSchema" xmlns:p="http://schemas.microsoft.com/office/2006/metadata/properties" xmlns:ns3="5e86c990-4971-4001-9f9e-a4e29ffaea82" xmlns:ns4="33d88d1f-3ea0-4d38-a617-7374bf5b0140" targetNamespace="http://schemas.microsoft.com/office/2006/metadata/properties" ma:root="true" ma:fieldsID="6bce87a78298f49c19d39400701802b4" ns3:_="" ns4:_="">
    <xsd:import namespace="5e86c990-4971-4001-9f9e-a4e29ffaea82"/>
    <xsd:import namespace="33d88d1f-3ea0-4d38-a617-7374bf5b01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6c990-4971-4001-9f9e-a4e29ffae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88d1f-3ea0-4d38-a617-7374bf5b01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33548-0DCE-4032-9AF1-5047037D0EF1}">
  <ds:schemaRefs>
    <ds:schemaRef ds:uri="http://purl.org/dc/terms/"/>
    <ds:schemaRef ds:uri="5e86c990-4971-4001-9f9e-a4e29ffaea8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3d88d1f-3ea0-4d38-a617-7374bf5b01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C19694-A24F-4DDC-A37F-4A9FEE2BB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86c990-4971-4001-9f9e-a4e29ffaea82"/>
    <ds:schemaRef ds:uri="33d88d1f-3ea0-4d38-a617-7374bf5b0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748A4C-61D5-4B83-BB47-2FCB4A429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Exercício 1</vt:lpstr>
      <vt:lpstr>Exercício 1 resposta</vt:lpstr>
      <vt:lpstr>Exercício 2</vt:lpstr>
      <vt:lpstr>Exercício 2 Resposta</vt:lpstr>
      <vt:lpstr>Exer 2 Matriz da Dívida</vt:lpstr>
      <vt:lpstr>Graficos</vt:lpstr>
      <vt:lpstr>Betas</vt:lpstr>
      <vt:lpstr>Taxas EUA</vt:lpstr>
      <vt:lpstr>Premissas Macro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Andrea</dc:creator>
  <cp:lastModifiedBy>Stacy Unongo</cp:lastModifiedBy>
  <dcterms:created xsi:type="dcterms:W3CDTF">2011-10-03T21:08:40Z</dcterms:created>
  <dcterms:modified xsi:type="dcterms:W3CDTF">2022-06-21T13:38:37Z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0x010100BD867BC61ACE2745A3DF760AE51E7038</vt:lpwstr>
  </property>
</Properties>
</file>